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N:\Editais\Rascunho de editais\2023\MARGINAL II\"/>
    </mc:Choice>
  </mc:AlternateContent>
  <xr:revisionPtr revIDLastSave="0" documentId="13_ncr:40009_{9CFDCC84-E94E-4119-9FAA-2B7E50C12A27}" xr6:coauthVersionLast="47" xr6:coauthVersionMax="47" xr10:uidLastSave="{00000000-0000-0000-0000-000000000000}"/>
  <bookViews>
    <workbookView xWindow="-120" yWindow="-120" windowWidth="24240" windowHeight="13140" tabRatio="500" activeTab="2"/>
  </bookViews>
  <sheets>
    <sheet name="Orçamento " sheetId="1" r:id="rId1"/>
    <sheet name="Cronograma FF " sheetId="2" state="hidden" r:id="rId2"/>
    <sheet name="Cronograma FF  (2)" sheetId="3" r:id="rId3"/>
    <sheet name="BDI" sheetId="4" r:id="rId4"/>
    <sheet name="Composições" sheetId="5" r:id="rId5"/>
    <sheet name="Qualificação" sheetId="6" state="hidden" r:id="rId6"/>
  </sheets>
  <externalReferences>
    <externalReference r:id="rId7"/>
    <externalReference r:id="rId8"/>
  </externalReferences>
  <definedNames>
    <definedName name="_xlnm.Print_Area" localSheetId="3">BDI!$A$1:$F$45</definedName>
    <definedName name="_xlnm.Print_Area" localSheetId="1">'Cronograma FF '!$A$1:$P$72</definedName>
    <definedName name="_xlnm.Print_Area" localSheetId="2">'Cronograma FF  (2)'!$A$1:$O$66</definedName>
    <definedName name="_xlnm.Print_Area" localSheetId="0">'Orçamento '!$A$1:$K$241</definedName>
    <definedName name="_xlnm.Print_Area" localSheetId="5">Qualificação!$A$1:$G$15</definedName>
    <definedName name="DESONERACAO">IF(OR(Import_Desoneracao="DESONERADO",Import_Desoneracao="SIM"),"SIM","NÃO")</definedName>
    <definedName name="Excel_BuiltIn_Print_Area" localSheetId="3">BDI!$A$1:$F$46</definedName>
    <definedName name="Excel_BuiltIn_Print_Area" localSheetId="1">'Cronograma FF '!$A$1:$P$72</definedName>
    <definedName name="Excel_BuiltIn_Print_Area" localSheetId="2">'Cronograma FF  (2)'!$A$1:$P$66</definedName>
    <definedName name="Excel_BuiltIn_Print_Area" localSheetId="0">'Orçamento '!$A$1:$K$200</definedName>
    <definedName name="Excel_BuiltIn_Print_Area" localSheetId="5">Qualificação!$A$1:$G$15</definedName>
    <definedName name="Excel_BuiltIn_Print_Titles" localSheetId="0">'Orçamento '!$1:$7</definedName>
    <definedName name="Import_Desoneracao">OFFSET([1]DADOS!$G$18,0,-1)</definedName>
    <definedName name="NCOMPOSICOES">15</definedName>
    <definedName name="NCOTACOES">15</definedName>
    <definedName name="ORÇAMENTO_BancoRef" localSheetId="0">'Orçamento '!$F$8</definedName>
    <definedName name="ORÇAMENTO_BancoRef">#REF!</definedName>
    <definedName name="REFERENCIA_Descricao" localSheetId="0">IF(ISNUMBER('Orçamento '!$AF1),OFFSET(INDIRECT('Orçamento '!ORÇAMENTO_BancoRef),'Orçamento '!$AF1-1,3,1),'Orçamento '!$AF1)</definedName>
    <definedName name="REFERENCIA_Descricao">IF(ISNUMBER(#REF!),OFFSET(INDIRECT(ORÇAMENTO_BancoRef),#REF!-1,3,1),#REF!)</definedName>
    <definedName name="REFERENCIA_Desonerado" localSheetId="0">IF(ISNUMBER('Orçamento '!$AF1),VALUE(OFFSET(INDIRECT('Orçamento '!ORÇAMENTO_BancoRef),'Orçamento '!$AF1-1,5,1)),0)</definedName>
    <definedName name="REFERENCIA_Desonerado">IF(ISNUMBER(#REF!),VALUE(OFFSET(INDIRECT(ORÇAMENTO_BancoRef),#REF!-1,5,1)),0)</definedName>
    <definedName name="REFERENCIA_NaoDesonerado" localSheetId="0">IF(ISNUMBER('Orçamento '!$AF1),VALUE(OFFSET(INDIRECT('Orçamento '!ORÇAMENTO_BancoRef),'Orçamento '!$AF1-1,6,1)),0)</definedName>
    <definedName name="REFERENCIA_NaoDesonerado">IF(ISNUMBER(#REF!),VALUE(OFFSET(INDIRECT(ORÇAMENTO_BancoRef),#REF!-1,6,1)),0)</definedName>
    <definedName name="REFERENCIA_Unidade" localSheetId="0">IF(ISNUMBER('Orçamento '!$AF1),OFFSET(INDIRECT('Orçamento '!ORÇAMENTO_BancoRef),'Orçamento '!$AF1-1,4,1),"-")</definedName>
    <definedName name="REFERENCIA_Unidade">IF(ISNUMBER(#REF!),OFFSET(INDIRECT(ORÇAMENTO_BancoRef),#REF!-1,4,1),"-")</definedName>
    <definedName name="TIPOORCAMENTO">IF(VALUE([2]MENU!$O$3)=2,"Licitado","Proposto")</definedName>
    <definedName name="_xlnm.Print_Titles" localSheetId="0">'Orçamento '!$1:$7</definedName>
  </definedNames>
  <calcPr calcId="181029" fullCalcOnLoad="1"/>
</workbook>
</file>

<file path=xl/calcChain.xml><?xml version="1.0" encoding="utf-8"?>
<calcChain xmlns="http://schemas.openxmlformats.org/spreadsheetml/2006/main">
  <c r="C1" i="4" l="1"/>
  <c r="C3" i="4"/>
  <c r="E20" i="4"/>
  <c r="G2" i="5"/>
  <c r="G61" i="1"/>
  <c r="G3" i="5"/>
  <c r="G4" i="5"/>
  <c r="G5" i="5"/>
  <c r="G6" i="5"/>
  <c r="G7" i="5"/>
  <c r="G8" i="5"/>
  <c r="G9" i="5"/>
  <c r="G11" i="5"/>
  <c r="G131" i="1"/>
  <c r="H131" i="1"/>
  <c r="G12" i="5"/>
  <c r="G13" i="5"/>
  <c r="G14" i="5"/>
  <c r="G16" i="5"/>
  <c r="G132" i="1"/>
  <c r="G17" i="5"/>
  <c r="G18" i="5"/>
  <c r="G19" i="5"/>
  <c r="G21" i="5"/>
  <c r="G133" i="1"/>
  <c r="H133" i="1"/>
  <c r="G22" i="5"/>
  <c r="G23" i="5"/>
  <c r="G24" i="5"/>
  <c r="G27" i="5"/>
  <c r="G28" i="5"/>
  <c r="G29" i="5"/>
  <c r="G30" i="5"/>
  <c r="G26" i="5"/>
  <c r="G65" i="1"/>
  <c r="H65" i="1"/>
  <c r="G32" i="5"/>
  <c r="G33" i="5"/>
  <c r="G34" i="5"/>
  <c r="C2" i="2"/>
  <c r="B7" i="2"/>
  <c r="Q7" i="2"/>
  <c r="B10" i="2"/>
  <c r="Q10" i="2"/>
  <c r="B13" i="2"/>
  <c r="Q13" i="2"/>
  <c r="B16" i="2"/>
  <c r="Q16" i="2"/>
  <c r="B19" i="2"/>
  <c r="Q19" i="2"/>
  <c r="B22" i="2"/>
  <c r="Q22" i="2"/>
  <c r="B25" i="2"/>
  <c r="Q25" i="2"/>
  <c r="B28" i="2"/>
  <c r="Q28" i="2"/>
  <c r="B31" i="2"/>
  <c r="Q31" i="2"/>
  <c r="B34" i="2"/>
  <c r="Q34" i="2"/>
  <c r="B37" i="2"/>
  <c r="Q37" i="2"/>
  <c r="B40" i="2"/>
  <c r="Q40" i="2"/>
  <c r="B43" i="2"/>
  <c r="Q43" i="2"/>
  <c r="B46" i="2"/>
  <c r="Q46" i="2"/>
  <c r="B49" i="2"/>
  <c r="Q49" i="2"/>
  <c r="B52" i="2"/>
  <c r="Q52" i="2"/>
  <c r="B55" i="2"/>
  <c r="Q55" i="2"/>
  <c r="C2" i="3"/>
  <c r="B7" i="3"/>
  <c r="Q7" i="3"/>
  <c r="S7" i="3"/>
  <c r="B10" i="3"/>
  <c r="Q10" i="3"/>
  <c r="B13" i="3"/>
  <c r="Q13" i="3"/>
  <c r="B16" i="3"/>
  <c r="Q16" i="3"/>
  <c r="B19" i="3"/>
  <c r="Q19" i="3"/>
  <c r="B22" i="3"/>
  <c r="Q22" i="3"/>
  <c r="B25" i="3"/>
  <c r="Q25" i="3"/>
  <c r="B28" i="3"/>
  <c r="Q28" i="3"/>
  <c r="B31" i="3"/>
  <c r="Q31" i="3"/>
  <c r="B34" i="3"/>
  <c r="Q34" i="3"/>
  <c r="B37" i="3"/>
  <c r="Q37" i="3"/>
  <c r="B40" i="3"/>
  <c r="Q40" i="3"/>
  <c r="B43" i="3"/>
  <c r="Q43" i="3"/>
  <c r="B46" i="3"/>
  <c r="Q46" i="3"/>
  <c r="B49" i="3"/>
  <c r="Q49" i="3"/>
  <c r="B52" i="3"/>
  <c r="Q52" i="3"/>
  <c r="B55" i="3"/>
  <c r="Q55" i="3"/>
  <c r="H10" i="1"/>
  <c r="H11" i="1"/>
  <c r="I11" i="1"/>
  <c r="N11" i="1"/>
  <c r="H12" i="1"/>
  <c r="I12" i="1"/>
  <c r="N12" i="1"/>
  <c r="H13" i="1"/>
  <c r="I13" i="1"/>
  <c r="H14" i="1"/>
  <c r="H15" i="1"/>
  <c r="I15" i="1"/>
  <c r="N15" i="1"/>
  <c r="H16" i="1"/>
  <c r="I16" i="1"/>
  <c r="N16" i="1"/>
  <c r="H17" i="1"/>
  <c r="I17" i="1"/>
  <c r="H18" i="1"/>
  <c r="H19" i="1"/>
  <c r="I19" i="1"/>
  <c r="N19" i="1"/>
  <c r="H20" i="1"/>
  <c r="I20" i="1"/>
  <c r="N20" i="1"/>
  <c r="H21" i="1"/>
  <c r="I21" i="1"/>
  <c r="H22" i="1"/>
  <c r="H23" i="1"/>
  <c r="I23" i="1"/>
  <c r="N23" i="1"/>
  <c r="H24" i="1"/>
  <c r="I24" i="1"/>
  <c r="N24" i="1"/>
  <c r="H25" i="1"/>
  <c r="I25" i="1"/>
  <c r="H26" i="1"/>
  <c r="H27" i="1"/>
  <c r="I27" i="1"/>
  <c r="N27" i="1"/>
  <c r="H28" i="1"/>
  <c r="I28" i="1"/>
  <c r="N28" i="1"/>
  <c r="H31" i="1"/>
  <c r="I31" i="1"/>
  <c r="N31" i="1"/>
  <c r="P31" i="1"/>
  <c r="H32" i="1"/>
  <c r="I32" i="1"/>
  <c r="N32" i="1"/>
  <c r="P32" i="1"/>
  <c r="H33" i="1"/>
  <c r="I33" i="1"/>
  <c r="N33" i="1"/>
  <c r="P33" i="1"/>
  <c r="H34" i="1"/>
  <c r="I34" i="1"/>
  <c r="N34" i="1"/>
  <c r="P34" i="1"/>
  <c r="H35" i="1"/>
  <c r="I35" i="1"/>
  <c r="N35" i="1"/>
  <c r="P35" i="1"/>
  <c r="H36" i="1"/>
  <c r="I36" i="1"/>
  <c r="N36" i="1"/>
  <c r="P36" i="1"/>
  <c r="H37" i="1"/>
  <c r="P37" i="1"/>
  <c r="I37" i="1"/>
  <c r="N37" i="1"/>
  <c r="H38" i="1"/>
  <c r="P38" i="1"/>
  <c r="I38" i="1"/>
  <c r="N38" i="1"/>
  <c r="G41" i="1"/>
  <c r="H41" i="1"/>
  <c r="I41" i="1"/>
  <c r="N41" i="1"/>
  <c r="H42" i="1"/>
  <c r="I42" i="1"/>
  <c r="H43" i="1"/>
  <c r="N45" i="1"/>
  <c r="H46" i="1"/>
  <c r="I46" i="1"/>
  <c r="N46" i="1"/>
  <c r="H47" i="1"/>
  <c r="I47" i="1"/>
  <c r="H48" i="1"/>
  <c r="H49" i="1"/>
  <c r="I49" i="1"/>
  <c r="N49" i="1"/>
  <c r="H52" i="1"/>
  <c r="H53" i="1"/>
  <c r="I53" i="1"/>
  <c r="N53" i="1"/>
  <c r="H54" i="1"/>
  <c r="I54" i="1"/>
  <c r="N54" i="1"/>
  <c r="H55" i="1"/>
  <c r="I55" i="1"/>
  <c r="H56" i="1"/>
  <c r="H57" i="1"/>
  <c r="I57" i="1"/>
  <c r="N57" i="1"/>
  <c r="H58" i="1"/>
  <c r="I58" i="1"/>
  <c r="N58" i="1"/>
  <c r="H59" i="1"/>
  <c r="I59" i="1"/>
  <c r="H60" i="1"/>
  <c r="H61" i="1"/>
  <c r="H62" i="1"/>
  <c r="I62" i="1"/>
  <c r="N62" i="1"/>
  <c r="H63" i="1"/>
  <c r="I63" i="1"/>
  <c r="N63" i="1"/>
  <c r="H64" i="1"/>
  <c r="I64" i="1"/>
  <c r="H66" i="1"/>
  <c r="H67" i="1"/>
  <c r="I67" i="1"/>
  <c r="N67" i="1"/>
  <c r="H68" i="1"/>
  <c r="I68" i="1"/>
  <c r="N68" i="1"/>
  <c r="H69" i="1"/>
  <c r="I69" i="1"/>
  <c r="H72" i="1"/>
  <c r="I72" i="1"/>
  <c r="N72" i="1"/>
  <c r="H73" i="1"/>
  <c r="I73" i="1"/>
  <c r="H74" i="1"/>
  <c r="H75" i="1"/>
  <c r="I75" i="1"/>
  <c r="N75" i="1"/>
  <c r="H76" i="1"/>
  <c r="I76" i="1"/>
  <c r="N76" i="1"/>
  <c r="H77" i="1"/>
  <c r="I77" i="1"/>
  <c r="H78" i="1"/>
  <c r="H81" i="1"/>
  <c r="I81" i="1"/>
  <c r="H82" i="1"/>
  <c r="H83" i="1"/>
  <c r="I83" i="1"/>
  <c r="N83" i="1"/>
  <c r="H84" i="1"/>
  <c r="I84" i="1"/>
  <c r="N84" i="1"/>
  <c r="H85" i="1"/>
  <c r="I85" i="1"/>
  <c r="H86" i="1"/>
  <c r="H87" i="1"/>
  <c r="I87" i="1"/>
  <c r="N87" i="1"/>
  <c r="H88" i="1"/>
  <c r="I88" i="1"/>
  <c r="N88" i="1"/>
  <c r="H89" i="1"/>
  <c r="I89" i="1"/>
  <c r="H92" i="1"/>
  <c r="I92" i="1"/>
  <c r="N92" i="1"/>
  <c r="H93" i="1"/>
  <c r="I93" i="1"/>
  <c r="H94" i="1"/>
  <c r="H97" i="1"/>
  <c r="I97" i="1"/>
  <c r="H98" i="1"/>
  <c r="H99" i="1"/>
  <c r="I99" i="1"/>
  <c r="N99" i="1"/>
  <c r="H102" i="1"/>
  <c r="H103" i="1"/>
  <c r="I103" i="1"/>
  <c r="N103" i="1"/>
  <c r="H104" i="1"/>
  <c r="I104" i="1"/>
  <c r="N104" i="1"/>
  <c r="H105" i="1"/>
  <c r="I105" i="1"/>
  <c r="H106" i="1"/>
  <c r="N106" i="1"/>
  <c r="H109" i="1"/>
  <c r="H110" i="1"/>
  <c r="N110" i="1"/>
  <c r="H111" i="1"/>
  <c r="I111" i="1"/>
  <c r="N111" i="1"/>
  <c r="H114" i="1"/>
  <c r="N114" i="1"/>
  <c r="I114" i="1"/>
  <c r="H115" i="1"/>
  <c r="I115" i="1"/>
  <c r="N115" i="1"/>
  <c r="H116" i="1"/>
  <c r="I116" i="1"/>
  <c r="N116" i="1"/>
  <c r="H117" i="1"/>
  <c r="H118" i="1"/>
  <c r="N118" i="1"/>
  <c r="I118" i="1"/>
  <c r="H119" i="1"/>
  <c r="I119" i="1"/>
  <c r="N119" i="1"/>
  <c r="H120" i="1"/>
  <c r="I120" i="1"/>
  <c r="N120" i="1"/>
  <c r="H121" i="1"/>
  <c r="H122" i="1"/>
  <c r="N122" i="1"/>
  <c r="H123" i="1"/>
  <c r="I123" i="1"/>
  <c r="N123" i="1"/>
  <c r="H124" i="1"/>
  <c r="I124" i="1"/>
  <c r="N124" i="1"/>
  <c r="H127" i="1"/>
  <c r="I127" i="1"/>
  <c r="N127" i="1"/>
  <c r="H128" i="1"/>
  <c r="I128" i="1"/>
  <c r="N128" i="1"/>
  <c r="H129" i="1"/>
  <c r="H130" i="1"/>
  <c r="N130" i="1"/>
  <c r="H132" i="1"/>
  <c r="N132" i="1"/>
  <c r="H134" i="1"/>
  <c r="I134" i="1"/>
  <c r="N134" i="1"/>
  <c r="H135" i="1"/>
  <c r="I135" i="1"/>
  <c r="N135" i="1"/>
  <c r="H138" i="1"/>
  <c r="I138" i="1"/>
  <c r="N138" i="1"/>
  <c r="H139" i="1"/>
  <c r="I139" i="1"/>
  <c r="N139" i="1"/>
  <c r="H140" i="1"/>
  <c r="H141" i="1"/>
  <c r="N141" i="1"/>
  <c r="I141" i="1"/>
  <c r="H144" i="1"/>
  <c r="H145" i="1"/>
  <c r="N145" i="1"/>
  <c r="I145" i="1"/>
  <c r="H146" i="1"/>
  <c r="I146" i="1"/>
  <c r="N146" i="1"/>
  <c r="H150" i="1"/>
  <c r="H151" i="1"/>
  <c r="N151" i="1"/>
  <c r="H152" i="1"/>
  <c r="I152" i="1"/>
  <c r="N152" i="1"/>
  <c r="H153" i="1"/>
  <c r="I153" i="1"/>
  <c r="N153" i="1"/>
  <c r="H154" i="1"/>
  <c r="H155" i="1"/>
  <c r="N155" i="1"/>
  <c r="H156" i="1"/>
  <c r="I156" i="1"/>
  <c r="N156" i="1"/>
  <c r="H157" i="1"/>
  <c r="I157" i="1"/>
  <c r="N157" i="1"/>
  <c r="H158" i="1"/>
  <c r="H159" i="1"/>
  <c r="N159" i="1"/>
  <c r="I159" i="1"/>
  <c r="H160" i="1"/>
  <c r="I160" i="1"/>
  <c r="N160" i="1"/>
  <c r="H161" i="1"/>
  <c r="I161" i="1"/>
  <c r="N161" i="1"/>
  <c r="H163" i="1"/>
  <c r="I163" i="1"/>
  <c r="N163" i="1"/>
  <c r="H164" i="1"/>
  <c r="H165" i="1"/>
  <c r="N165" i="1"/>
  <c r="H166" i="1"/>
  <c r="I166" i="1"/>
  <c r="N166" i="1"/>
  <c r="H167" i="1"/>
  <c r="I167" i="1"/>
  <c r="N167" i="1"/>
  <c r="H168" i="1"/>
  <c r="H170" i="1"/>
  <c r="H171" i="1"/>
  <c r="N171" i="1"/>
  <c r="I171" i="1"/>
  <c r="H172" i="1"/>
  <c r="I172" i="1"/>
  <c r="H173" i="1"/>
  <c r="I173" i="1"/>
  <c r="N173" i="1"/>
  <c r="H175" i="1"/>
  <c r="I175" i="1"/>
  <c r="N175" i="1"/>
  <c r="H176" i="1"/>
  <c r="I176" i="1"/>
  <c r="N176" i="1"/>
  <c r="H177" i="1"/>
  <c r="N177" i="1"/>
  <c r="H178" i="1"/>
  <c r="I178" i="1"/>
  <c r="N178" i="1"/>
  <c r="H179" i="1"/>
  <c r="I179" i="1"/>
  <c r="N179" i="1"/>
  <c r="H180" i="1"/>
  <c r="I180" i="1"/>
  <c r="H181" i="1"/>
  <c r="N181" i="1"/>
  <c r="I181" i="1"/>
  <c r="H182" i="1"/>
  <c r="I182" i="1"/>
  <c r="H183" i="1"/>
  <c r="I183" i="1"/>
  <c r="N183" i="1"/>
  <c r="H185" i="1"/>
  <c r="I185" i="1"/>
  <c r="I184" i="1"/>
  <c r="N185" i="1"/>
  <c r="H187" i="1"/>
  <c r="I187" i="1"/>
  <c r="I186" i="1"/>
  <c r="N187" i="1"/>
  <c r="H188" i="1"/>
  <c r="I188" i="1"/>
  <c r="N188" i="1"/>
  <c r="N191" i="1"/>
  <c r="H192" i="1"/>
  <c r="I192" i="1"/>
  <c r="I191" i="1"/>
  <c r="H193" i="1"/>
  <c r="I193" i="1"/>
  <c r="H194" i="1"/>
  <c r="I194" i="1"/>
  <c r="H195" i="1"/>
  <c r="I195" i="1"/>
  <c r="N196" i="1"/>
  <c r="H197" i="1"/>
  <c r="I197" i="1"/>
  <c r="H198" i="1"/>
  <c r="I198" i="1"/>
  <c r="H199" i="1"/>
  <c r="I199" i="1"/>
  <c r="H200" i="1"/>
  <c r="I200" i="1"/>
  <c r="N201" i="1"/>
  <c r="H202" i="1"/>
  <c r="I202" i="1"/>
  <c r="H203" i="1"/>
  <c r="I203" i="1"/>
  <c r="H204" i="1"/>
  <c r="I204" i="1"/>
  <c r="H205" i="1"/>
  <c r="I205" i="1"/>
  <c r="N206" i="1"/>
  <c r="H207" i="1"/>
  <c r="I207" i="1"/>
  <c r="I206" i="1"/>
  <c r="H208" i="1"/>
  <c r="I208" i="1"/>
  <c r="H209" i="1"/>
  <c r="I209" i="1"/>
  <c r="H210" i="1"/>
  <c r="I210" i="1"/>
  <c r="N211" i="1"/>
  <c r="H212" i="1"/>
  <c r="I212" i="1"/>
  <c r="H213" i="1"/>
  <c r="I213" i="1"/>
  <c r="H214" i="1"/>
  <c r="I214" i="1"/>
  <c r="H215" i="1"/>
  <c r="I215" i="1"/>
  <c r="F5" i="6"/>
  <c r="F6" i="6"/>
  <c r="F7" i="6"/>
  <c r="F8" i="6"/>
  <c r="F9" i="6"/>
  <c r="F10" i="6"/>
  <c r="F11" i="6"/>
  <c r="F12" i="6"/>
  <c r="F13" i="6"/>
  <c r="F14" i="6"/>
  <c r="F15" i="6"/>
  <c r="N133" i="1"/>
  <c r="I133" i="1"/>
  <c r="N131" i="1"/>
  <c r="I131" i="1"/>
  <c r="I65" i="1"/>
  <c r="N65" i="1"/>
  <c r="I211" i="1"/>
  <c r="I196" i="1"/>
  <c r="I190" i="1"/>
  <c r="I109" i="1"/>
  <c r="I108" i="1"/>
  <c r="N109" i="1"/>
  <c r="N182" i="1"/>
  <c r="N172" i="1"/>
  <c r="I164" i="1"/>
  <c r="N164" i="1"/>
  <c r="I155" i="1"/>
  <c r="I129" i="1"/>
  <c r="I126" i="1"/>
  <c r="N129" i="1"/>
  <c r="I121" i="1"/>
  <c r="N121" i="1"/>
  <c r="I60" i="1"/>
  <c r="N60" i="1"/>
  <c r="I56" i="1"/>
  <c r="N56" i="1"/>
  <c r="I52" i="1"/>
  <c r="N52" i="1"/>
  <c r="I48" i="1"/>
  <c r="I45" i="1"/>
  <c r="N48" i="1"/>
  <c r="I18" i="1"/>
  <c r="N18" i="1"/>
  <c r="I201" i="1"/>
  <c r="I168" i="1"/>
  <c r="N168" i="1"/>
  <c r="I150" i="1"/>
  <c r="N150" i="1"/>
  <c r="I96" i="1"/>
  <c r="I61" i="1"/>
  <c r="N61" i="1"/>
  <c r="I14" i="1"/>
  <c r="N14" i="1"/>
  <c r="N180" i="1"/>
  <c r="I177" i="1"/>
  <c r="I174" i="1"/>
  <c r="I170" i="1"/>
  <c r="I169" i="1"/>
  <c r="N170" i="1"/>
  <c r="I158" i="1"/>
  <c r="N158" i="1"/>
  <c r="I151" i="1"/>
  <c r="I117" i="1"/>
  <c r="N117" i="1"/>
  <c r="I110" i="1"/>
  <c r="I106" i="1"/>
  <c r="I94" i="1"/>
  <c r="I91" i="1"/>
  <c r="N94" i="1"/>
  <c r="I78" i="1"/>
  <c r="N78" i="1"/>
  <c r="I74" i="1"/>
  <c r="N74" i="1"/>
  <c r="I22" i="1"/>
  <c r="N22" i="1"/>
  <c r="I30" i="1"/>
  <c r="I165" i="1"/>
  <c r="I154" i="1"/>
  <c r="N154" i="1"/>
  <c r="I144" i="1"/>
  <c r="I143" i="1"/>
  <c r="N144" i="1"/>
  <c r="I140" i="1"/>
  <c r="I137" i="1"/>
  <c r="N140" i="1"/>
  <c r="I132" i="1"/>
  <c r="I130" i="1"/>
  <c r="I122" i="1"/>
  <c r="I113" i="1"/>
  <c r="I102" i="1"/>
  <c r="N102" i="1"/>
  <c r="I98" i="1"/>
  <c r="N98" i="1"/>
  <c r="I86" i="1"/>
  <c r="N86" i="1"/>
  <c r="I82" i="1"/>
  <c r="I80" i="1"/>
  <c r="N82" i="1"/>
  <c r="I66" i="1"/>
  <c r="N66" i="1"/>
  <c r="I43" i="1"/>
  <c r="I40" i="1"/>
  <c r="N43" i="1"/>
  <c r="I26" i="1"/>
  <c r="N26" i="1"/>
  <c r="I10" i="1"/>
  <c r="N10" i="1"/>
  <c r="N105" i="1"/>
  <c r="N97" i="1"/>
  <c r="N93" i="1"/>
  <c r="N89" i="1"/>
  <c r="N85" i="1"/>
  <c r="N81" i="1"/>
  <c r="N77" i="1"/>
  <c r="N73" i="1"/>
  <c r="N69" i="1"/>
  <c r="N64" i="1"/>
  <c r="N59" i="1"/>
  <c r="N55" i="1"/>
  <c r="N47" i="1"/>
  <c r="N42" i="1"/>
  <c r="N25" i="1"/>
  <c r="N21" i="1"/>
  <c r="N17" i="1"/>
  <c r="N13" i="1"/>
  <c r="C15" i="2"/>
  <c r="C15" i="3"/>
  <c r="M15" i="3" s="1"/>
  <c r="M40" i="1"/>
  <c r="C30" i="3"/>
  <c r="C30" i="2"/>
  <c r="M91" i="1"/>
  <c r="C57" i="2"/>
  <c r="C57" i="3"/>
  <c r="E57" i="3" s="1"/>
  <c r="M190" i="1"/>
  <c r="C18" i="2"/>
  <c r="C18" i="3"/>
  <c r="M45" i="1"/>
  <c r="C27" i="2"/>
  <c r="C27" i="3"/>
  <c r="I27" i="3" s="1"/>
  <c r="M80" i="1"/>
  <c r="C42" i="3"/>
  <c r="N42" i="3" s="1"/>
  <c r="C42" i="2"/>
  <c r="M113" i="1"/>
  <c r="C48" i="2"/>
  <c r="C48" i="3"/>
  <c r="F48" i="3" s="1"/>
  <c r="M137" i="1"/>
  <c r="C45" i="2"/>
  <c r="C45" i="3"/>
  <c r="M126" i="1"/>
  <c r="I9" i="1"/>
  <c r="C33" i="2"/>
  <c r="C33" i="3"/>
  <c r="M96" i="1"/>
  <c r="C51" i="3"/>
  <c r="L51" i="3" s="1"/>
  <c r="C51" i="2"/>
  <c r="M143" i="1"/>
  <c r="C12" i="2"/>
  <c r="C12" i="3"/>
  <c r="E12" i="3" s="1"/>
  <c r="M30" i="1"/>
  <c r="I149" i="1"/>
  <c r="N217" i="1"/>
  <c r="C39" i="2"/>
  <c r="C39" i="3"/>
  <c r="O39" i="3" s="1"/>
  <c r="M108" i="1"/>
  <c r="I101" i="1"/>
  <c r="I51" i="1"/>
  <c r="I162" i="1"/>
  <c r="I71" i="1"/>
  <c r="F45" i="3"/>
  <c r="G45" i="3"/>
  <c r="H45" i="3"/>
  <c r="E45" i="3"/>
  <c r="I45" i="3"/>
  <c r="H48" i="2"/>
  <c r="E48" i="2"/>
  <c r="I48" i="2"/>
  <c r="F48" i="2"/>
  <c r="J48" i="2"/>
  <c r="G48" i="2"/>
  <c r="K48" i="2"/>
  <c r="G18" i="3"/>
  <c r="I18" i="3"/>
  <c r="K18" i="3"/>
  <c r="E18" i="3"/>
  <c r="G57" i="2"/>
  <c r="D57" i="2"/>
  <c r="E57" i="2"/>
  <c r="F57" i="2"/>
  <c r="H51" i="2"/>
  <c r="I51" i="2"/>
  <c r="J51" i="2"/>
  <c r="K51" i="2"/>
  <c r="I42" i="3"/>
  <c r="J42" i="3"/>
  <c r="O42" i="3"/>
  <c r="L42" i="3"/>
  <c r="I57" i="3"/>
  <c r="G57" i="3"/>
  <c r="I148" i="1"/>
  <c r="D12" i="2"/>
  <c r="H12" i="2"/>
  <c r="L12" i="2"/>
  <c r="E12" i="2"/>
  <c r="I12" i="2"/>
  <c r="M12" i="2"/>
  <c r="F12" i="2"/>
  <c r="J12" i="2"/>
  <c r="N12" i="2"/>
  <c r="G12" i="2"/>
  <c r="K12" i="2"/>
  <c r="O12" i="2"/>
  <c r="C9" i="2"/>
  <c r="M9" i="1"/>
  <c r="H217" i="1"/>
  <c r="I7" i="1"/>
  <c r="C9" i="3"/>
  <c r="H9" i="3" s="1"/>
  <c r="H45" i="2"/>
  <c r="E45" i="2"/>
  <c r="F45" i="2"/>
  <c r="G45" i="2"/>
  <c r="D18" i="2"/>
  <c r="C36" i="3"/>
  <c r="G36" i="3" s="1"/>
  <c r="C36" i="2"/>
  <c r="M101" i="1"/>
  <c r="L33" i="2"/>
  <c r="M33" i="2"/>
  <c r="N33" i="2"/>
  <c r="I48" i="3"/>
  <c r="J48" i="3"/>
  <c r="G48" i="3"/>
  <c r="J30" i="3"/>
  <c r="C21" i="2"/>
  <c r="C21" i="3"/>
  <c r="G21" i="3" s="1"/>
  <c r="M51" i="1"/>
  <c r="C24" i="3"/>
  <c r="J24" i="3" s="1"/>
  <c r="M71" i="1"/>
  <c r="C24" i="2"/>
  <c r="N39" i="2"/>
  <c r="O39" i="2"/>
  <c r="M33" i="3"/>
  <c r="N33" i="3"/>
  <c r="K33" i="3"/>
  <c r="L33" i="3"/>
  <c r="I42" i="2"/>
  <c r="M42" i="2"/>
  <c r="J42" i="2"/>
  <c r="K42" i="2"/>
  <c r="L42" i="2"/>
  <c r="I27" i="2"/>
  <c r="J30" i="2"/>
  <c r="D15" i="2"/>
  <c r="O15" i="2"/>
  <c r="E15" i="2"/>
  <c r="G15" i="2"/>
  <c r="I15" i="2"/>
  <c r="D9" i="2"/>
  <c r="H9" i="2"/>
  <c r="L9" i="2"/>
  <c r="E9" i="2"/>
  <c r="I9" i="2"/>
  <c r="M9" i="2"/>
  <c r="F9" i="2"/>
  <c r="J9" i="2"/>
  <c r="N9" i="2"/>
  <c r="K9" i="2"/>
  <c r="O9" i="2"/>
  <c r="O59" i="2"/>
  <c r="G9" i="2"/>
  <c r="F21" i="3"/>
  <c r="J9" i="3"/>
  <c r="N9" i="3"/>
  <c r="D36" i="2"/>
  <c r="H36" i="2"/>
  <c r="E36" i="2"/>
  <c r="I36" i="2"/>
  <c r="F36" i="2"/>
  <c r="G36" i="2"/>
  <c r="I8" i="6"/>
  <c r="I12" i="6"/>
  <c r="I7" i="6"/>
  <c r="I13" i="6"/>
  <c r="I15" i="6"/>
  <c r="I10" i="6"/>
  <c r="I14" i="6"/>
  <c r="I6" i="6"/>
  <c r="I9" i="6"/>
  <c r="I11" i="6"/>
  <c r="I5" i="6"/>
  <c r="C54" i="3"/>
  <c r="K54" i="3" s="1"/>
  <c r="C54" i="2"/>
  <c r="M148" i="1"/>
  <c r="G24" i="2"/>
  <c r="K24" i="2"/>
  <c r="H24" i="2"/>
  <c r="L24" i="2"/>
  <c r="C58" i="2"/>
  <c r="C22" i="2"/>
  <c r="I24" i="2"/>
  <c r="M24" i="2"/>
  <c r="J24" i="2"/>
  <c r="F21" i="2"/>
  <c r="G21" i="2"/>
  <c r="D21" i="2"/>
  <c r="D59" i="2"/>
  <c r="H21" i="2"/>
  <c r="E21" i="2"/>
  <c r="E59" i="2"/>
  <c r="I21" i="2"/>
  <c r="J36" i="3"/>
  <c r="M217" i="1"/>
  <c r="O61" i="2"/>
  <c r="C7" i="2"/>
  <c r="C19" i="2"/>
  <c r="D60" i="2"/>
  <c r="D61" i="2"/>
  <c r="D62" i="2"/>
  <c r="I59" i="2"/>
  <c r="F54" i="2"/>
  <c r="J54" i="2"/>
  <c r="J59" i="2"/>
  <c r="N54" i="2"/>
  <c r="N59" i="2"/>
  <c r="C52" i="2"/>
  <c r="G54" i="2"/>
  <c r="G59" i="2"/>
  <c r="K54" i="2"/>
  <c r="K59" i="2"/>
  <c r="H54" i="2"/>
  <c r="H59" i="2"/>
  <c r="L54" i="2"/>
  <c r="L59" i="2"/>
  <c r="I54" i="2"/>
  <c r="M54" i="2"/>
  <c r="M59" i="2"/>
  <c r="E61" i="2"/>
  <c r="E60" i="2"/>
  <c r="F59" i="2"/>
  <c r="C31" i="2"/>
  <c r="C40" i="2"/>
  <c r="C25" i="2"/>
  <c r="C10" i="2"/>
  <c r="C43" i="2"/>
  <c r="C55" i="2"/>
  <c r="C16" i="2"/>
  <c r="C37" i="2"/>
  <c r="C13" i="2"/>
  <c r="C46" i="2"/>
  <c r="C49" i="2"/>
  <c r="C28" i="2"/>
  <c r="N54" i="3"/>
  <c r="C34" i="2"/>
  <c r="K61" i="2"/>
  <c r="J61" i="2"/>
  <c r="H61" i="2"/>
  <c r="M61" i="2"/>
  <c r="G61" i="2"/>
  <c r="L61" i="2"/>
  <c r="I61" i="2"/>
  <c r="F60" i="2"/>
  <c r="G60" i="2"/>
  <c r="H60" i="2"/>
  <c r="I60" i="2"/>
  <c r="J60" i="2"/>
  <c r="K60" i="2"/>
  <c r="L60" i="2"/>
  <c r="M60" i="2"/>
  <c r="N60" i="2"/>
  <c r="O60" i="2"/>
  <c r="F61" i="2"/>
  <c r="E62" i="2"/>
  <c r="N61" i="2"/>
  <c r="F62" i="2"/>
  <c r="G62" i="2"/>
  <c r="H62" i="2"/>
  <c r="I62" i="2"/>
  <c r="J62" i="2"/>
  <c r="K62" i="2"/>
  <c r="L62" i="2"/>
  <c r="M62" i="2"/>
  <c r="N62" i="2"/>
  <c r="O62" i="2"/>
  <c r="I9" i="3" l="1"/>
  <c r="I54" i="3"/>
  <c r="G12" i="3"/>
  <c r="L54" i="3"/>
  <c r="O9" i="3"/>
  <c r="E9" i="3"/>
  <c r="K48" i="3"/>
  <c r="E48" i="3"/>
  <c r="F57" i="3"/>
  <c r="K42" i="3"/>
  <c r="F54" i="3"/>
  <c r="G54" i="3"/>
  <c r="H54" i="3"/>
  <c r="I36" i="3"/>
  <c r="I15" i="3"/>
  <c r="L12" i="3"/>
  <c r="J54" i="3"/>
  <c r="M54" i="3"/>
  <c r="L36" i="3"/>
  <c r="D9" i="3"/>
  <c r="E15" i="3"/>
  <c r="M42" i="3"/>
  <c r="K36" i="3"/>
  <c r="F36" i="3"/>
  <c r="H36" i="3"/>
  <c r="M24" i="3"/>
  <c r="O12" i="3"/>
  <c r="H12" i="3"/>
  <c r="F12" i="3"/>
  <c r="C58" i="3"/>
  <c r="C25" i="3" s="1"/>
  <c r="O51" i="3"/>
  <c r="E36" i="3"/>
  <c r="N51" i="3"/>
  <c r="M12" i="3"/>
  <c r="I24" i="3"/>
  <c r="H21" i="3"/>
  <c r="C55" i="3"/>
  <c r="F9" i="3"/>
  <c r="D21" i="3"/>
  <c r="N39" i="3"/>
  <c r="D15" i="3"/>
  <c r="M51" i="3"/>
  <c r="D12" i="3"/>
  <c r="C37" i="3"/>
  <c r="K24" i="3"/>
  <c r="I21" i="3"/>
  <c r="O15" i="3"/>
  <c r="K15" i="3"/>
  <c r="C43" i="3"/>
  <c r="L24" i="3"/>
  <c r="G24" i="3"/>
  <c r="K9" i="3"/>
  <c r="L9" i="3"/>
  <c r="E21" i="3"/>
  <c r="G15" i="3"/>
  <c r="N12" i="3"/>
  <c r="I12" i="3"/>
  <c r="H24" i="3"/>
  <c r="G9" i="3"/>
  <c r="M9" i="3"/>
  <c r="H48" i="3"/>
  <c r="H57" i="3"/>
  <c r="K12" i="3"/>
  <c r="J12" i="3"/>
  <c r="N59" i="3" l="1"/>
  <c r="N61" i="3" s="1"/>
  <c r="C28" i="3"/>
  <c r="C40" i="3"/>
  <c r="C13" i="3"/>
  <c r="J59" i="3"/>
  <c r="J61" i="3" s="1"/>
  <c r="M59" i="3"/>
  <c r="C10" i="3"/>
  <c r="L59" i="3"/>
  <c r="L61" i="3" s="1"/>
  <c r="C46" i="3"/>
  <c r="C34" i="3"/>
  <c r="C7" i="3"/>
  <c r="E59" i="3"/>
  <c r="E61" i="3" s="1"/>
  <c r="O59" i="3"/>
  <c r="O61" i="3" s="1"/>
  <c r="C31" i="3"/>
  <c r="C19" i="3"/>
  <c r="C22" i="3"/>
  <c r="C52" i="3"/>
  <c r="C16" i="3"/>
  <c r="C49" i="3"/>
  <c r="F59" i="3"/>
  <c r="F61" i="3" s="1"/>
  <c r="M61" i="3"/>
  <c r="D59" i="3"/>
  <c r="I59" i="3"/>
  <c r="H59" i="3"/>
  <c r="K59" i="3"/>
  <c r="G59" i="3"/>
  <c r="K61" i="3" l="1"/>
  <c r="H61" i="3"/>
  <c r="D61" i="3"/>
  <c r="D62" i="3" s="1"/>
  <c r="E62" i="3" s="1"/>
  <c r="F62" i="3" s="1"/>
  <c r="D60" i="3"/>
  <c r="E60" i="3" s="1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I61" i="3"/>
  <c r="G61" i="3"/>
  <c r="G62" i="3" l="1"/>
  <c r="H62" i="3" s="1"/>
  <c r="I62" i="3" s="1"/>
  <c r="J62" i="3" s="1"/>
  <c r="K62" i="3" s="1"/>
  <c r="L62" i="3" s="1"/>
  <c r="M62" i="3" s="1"/>
  <c r="N62" i="3" s="1"/>
  <c r="O62" i="3" s="1"/>
</calcChain>
</file>

<file path=xl/sharedStrings.xml><?xml version="1.0" encoding="utf-8"?>
<sst xmlns="http://schemas.openxmlformats.org/spreadsheetml/2006/main" count="1155" uniqueCount="598">
  <si>
    <t>PREFEITURA MUNICIPAL DE ITATIBA</t>
  </si>
  <si>
    <t>PLANILHA QUANTITATIVA / ORÇAMENTÁRIA</t>
  </si>
  <si>
    <t>OBRA: EXECUÇÃO DE OBRAS PARA IMPLANTAÇÃO DA AVENIDA MARGINAL</t>
  </si>
  <si>
    <t>CDHU - BOLETIM 191
SINAPI 07/2023      PMSP 01/2023        DER 03/2023</t>
  </si>
  <si>
    <t>BASE DE PREÇOS E 
TIPO DE OBRA</t>
  </si>
  <si>
    <t>NÃO DESONERADO - RECAP. e PAVIMENTAÇÃO</t>
  </si>
  <si>
    <t>MEMÓRIA DE CÁLCULO</t>
  </si>
  <si>
    <t>CHECAGEM</t>
  </si>
  <si>
    <t>ITEM</t>
  </si>
  <si>
    <t>FONTE</t>
  </si>
  <si>
    <t>CÓDIGO</t>
  </si>
  <si>
    <t>DESCRIÇÃO</t>
  </si>
  <si>
    <t>UNID.</t>
  </si>
  <si>
    <t>QUANT.</t>
  </si>
  <si>
    <t>VALOR UNIT. SEM BDI</t>
  </si>
  <si>
    <t>VALOR UNITÁRIO COM BDI</t>
  </si>
  <si>
    <t>TOTAL</t>
  </si>
  <si>
    <t>1</t>
  </si>
  <si>
    <t>Serviços Preliminares</t>
  </si>
  <si>
    <t>1.1</t>
  </si>
  <si>
    <t>PMSP EDIF</t>
  </si>
  <si>
    <t>173002</t>
  </si>
  <si>
    <t>PLACA DE OBRA EM CHAPA DE AÇO GALVANIZADO</t>
  </si>
  <si>
    <t>M2</t>
  </si>
  <si>
    <t>1.2</t>
  </si>
  <si>
    <t>SINAPI-I</t>
  </si>
  <si>
    <t>10777</t>
  </si>
  <si>
    <t xml:space="preserve">LOCACAO DE CONTAINER 2,30 X 4,30 M, ALT. 2,50 M, PARA SANITARIO, COM 3 BACIAS, 4 CHUVEIROS, 1 LAVATORIO E 1 MICTORIO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</si>
  <si>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   </t>
  </si>
  <si>
    <t>1.3</t>
  </si>
  <si>
    <t>SINAPI</t>
  </si>
  <si>
    <t>93210</t>
  </si>
  <si>
    <t>EXECUÇÃO DE REFEITÓRIO EM CANTEIRO DE OBRA EM CHAPA DE MADEIRA COMPENSADA, NÃO INCLUSO MOBILIÁRIO E EQUIPAMENTOS. AF_02/2016</t>
  </si>
  <si>
    <t>1.4</t>
  </si>
  <si>
    <t>10776</t>
  </si>
  <si>
    <t xml:space="preserve">LOCACAO DE CONTAINER 2,30 X 6,00 M, ALT. 2,50 M, PARA ESCRITORIO, SEM DIVISORIAS INTERNAS E SEM SANITARIO (NAO INCLUI MOBILIZACAO/DESMOBILIZACAO) </t>
  </si>
  <si>
    <t>1.5</t>
  </si>
  <si>
    <t>CDHU</t>
  </si>
  <si>
    <t>0201180</t>
  </si>
  <si>
    <t>Banheiro químico modelo Standard, com manutenção conforme exigências da CETESB</t>
  </si>
  <si>
    <t>UNMES</t>
  </si>
  <si>
    <t>1.6</t>
  </si>
  <si>
    <t>101498</t>
  </si>
  <si>
    <t>ENTRADA DE ENERGIA ELÉTRICA, AÉREA, BIFÁSICA, COM CAIXA DE SOBREPOR, CABO DE 16 MM2 E DISJUNTOR DIN 50A (NÃO INCLUSO O POSTE DE CONCRETO). AF_07/2020_PS</t>
  </si>
  <si>
    <t>UN</t>
  </si>
  <si>
    <t>1.7</t>
  </si>
  <si>
    <t>98003</t>
  </si>
  <si>
    <t>POSTE DE ENTRADA DE ENERGIA, DUPLO "T" - 7,5M/200DAN</t>
  </si>
  <si>
    <t>1.8</t>
  </si>
  <si>
    <t>5901</t>
  </si>
  <si>
    <t>CAMINHÃO PIPA 10.000 L TRUCADO, PESO BRUTO TOTAL 23.000 KG, CARGA ÚTIL MÁXIMA 15.935 KG, DISTÂNCIA ENTRE EIXOS 4,8 M, POTÊNCIA 230 CV, INCLUSIVE TANQUE DE AÇO PARA TRANSPORTE DE ÁGUA - CHP DIURNO. AF_06/2014</t>
  </si>
  <si>
    <t>CHP</t>
  </si>
  <si>
    <t>1.9</t>
  </si>
  <si>
    <t>95635</t>
  </si>
  <si>
    <t>KIT CAVALETE PARA MEDIÇÃO DE ÁGUA - ENTRADA PRINCIPAL, EM PVC SOLDÁVEL DN 25 (¾")   FORNECIMENTO E INSTALAÇÃO (EXCLUSIVE HIDRÔMETRO). AF_11/2016</t>
  </si>
  <si>
    <t>1.10</t>
  </si>
  <si>
    <t>95675</t>
  </si>
  <si>
    <t>HIDRÔMETRO DN 25 (¾ ), 5,0 M³/H FORNECIMENTO E INSTALAÇÃO. AF_11/2016</t>
  </si>
  <si>
    <t>1.11</t>
  </si>
  <si>
    <t>4601020</t>
  </si>
  <si>
    <t>Tubo de PVC rígido soldável marrom, DN= 25 mm, (3/4´), inclusive conexões</t>
  </si>
  <si>
    <t>M</t>
  </si>
  <si>
    <t>1.12</t>
  </si>
  <si>
    <t>4605020</t>
  </si>
  <si>
    <t>Tubo PVC rígido, tipo Coletor Esgoto, junta elástica, DN= 100 mm, inclusive conexões</t>
  </si>
  <si>
    <t>1.13</t>
  </si>
  <si>
    <t>97902</t>
  </si>
  <si>
    <t>CAIXA ENTERRADA HIDRÁULICA RETANGULAR EM ALVENARIA COM TIJOLOS CERÂMICOS MACIÇOS, DIMENSÕES INTERNAS: 0,6X0,6X0,6 M PARA REDE DE ESGOTO. AF_12/2020</t>
  </si>
  <si>
    <t>1.14</t>
  </si>
  <si>
    <t>0121010</t>
  </si>
  <si>
    <t>Taxa de mobilização e desmobilização de equipamentos para execução de sondagem</t>
  </si>
  <si>
    <t>TX</t>
  </si>
  <si>
    <t>1.15</t>
  </si>
  <si>
    <t>0121090</t>
  </si>
  <si>
    <t>Taxa de mobilização e desmobilização de equipamentos para execução de sondagem rotativa</t>
  </si>
  <si>
    <t>1.16</t>
  </si>
  <si>
    <t>0121110</t>
  </si>
  <si>
    <t>Sondagem do terreno à percussão (mínimo de 30 m)</t>
  </si>
  <si>
    <t>1.17</t>
  </si>
  <si>
    <t>0121120</t>
  </si>
  <si>
    <t>Sondagem do terreno rotativa em solo</t>
  </si>
  <si>
    <t>1.18</t>
  </si>
  <si>
    <t>88907</t>
  </si>
  <si>
    <t>ESCAVADEIRA HIDRÁULICA SOBRE ESTEIRAS, CAÇAMBA 1,20 M3, PESO OPERACIONAL 21 T, POTÊNCIA BRUTA 155 HP - CHP DIURNO. AF_06/2014</t>
  </si>
  <si>
    <t>1.19</t>
  </si>
  <si>
    <t>91386</t>
  </si>
  <si>
    <t>CAMINHÃO BASCULANTE 10 M3, TRUCADO CABINE SIMPLES, PESO BRUTO TOTAL 23.000 KG, CARGA ÚTIL MÁXIMA 15.935 KG, DISTÂNCIA ENTRE EIXOS 4,80 M, POTÊNCIA 230 CV INCLUSIVE CAÇAMBA METÁLICA - CHP DIURNO. AF_06/2014</t>
  </si>
  <si>
    <t>2</t>
  </si>
  <si>
    <t>Administração Local</t>
  </si>
  <si>
    <t>2.1</t>
  </si>
  <si>
    <t>2707</t>
  </si>
  <si>
    <t xml:space="preserve">ENGENHEIRO CIVIL DE OBRA PLENO                            </t>
  </si>
  <si>
    <t xml:space="preserve">H     </t>
  </si>
  <si>
    <t>2.2</t>
  </si>
  <si>
    <t>532</t>
  </si>
  <si>
    <t xml:space="preserve">AUXILIAR TECNICO / ASSISTENTE DE ENGENHARIA </t>
  </si>
  <si>
    <t>2.3</t>
  </si>
  <si>
    <t>7592</t>
  </si>
  <si>
    <t xml:space="preserve">TOPOGRAFO (HORISTA) </t>
  </si>
  <si>
    <t>2.4</t>
  </si>
  <si>
    <t>244</t>
  </si>
  <si>
    <t xml:space="preserve">AUXILIAR DE TOPOGRAFO (HORISTA) </t>
  </si>
  <si>
    <t>2.5</t>
  </si>
  <si>
    <t>4083</t>
  </si>
  <si>
    <t xml:space="preserve">ENCARREGADO GERAL DE OBRAS (HORISTA) </t>
  </si>
  <si>
    <t>2.6</t>
  </si>
  <si>
    <t>34345</t>
  </si>
  <si>
    <t>VIGIA DIURNO</t>
  </si>
  <si>
    <t>2.7</t>
  </si>
  <si>
    <t>41776</t>
  </si>
  <si>
    <t>VIGIA NOTURNO, HORA EFETIVAMENTE TRABALHADA DE 22 H AS 5 H (COM ADICIONAL NOTURNO</t>
  </si>
  <si>
    <t>2.8</t>
  </si>
  <si>
    <t>PMSP INFRA</t>
  </si>
  <si>
    <t>SERVENTE</t>
  </si>
  <si>
    <t>H</t>
  </si>
  <si>
    <t>3</t>
  </si>
  <si>
    <t>Projetos e Controle Tecnológico</t>
  </si>
  <si>
    <t>3.1</t>
  </si>
  <si>
    <t>Composição</t>
  </si>
  <si>
    <t>6</t>
  </si>
  <si>
    <t>ENSAIOS DE COMPACTAÇÃO - AMOSTRAS NÃO TRABALHADAS - ENERGIA NORMAL - SOLOS</t>
  </si>
  <si>
    <t>UNID</t>
  </si>
  <si>
    <t>3.2</t>
  </si>
  <si>
    <t>200321</t>
  </si>
  <si>
    <t>DESENVOLVIMENTO DE PRANCHA DE DESENHO TÉCNICO/ DETALHAMENTO FORMATO A1</t>
  </si>
  <si>
    <t>3.3</t>
  </si>
  <si>
    <t>0117051</t>
  </si>
  <si>
    <t>Projeto executivo de estrutura em formato A1</t>
  </si>
  <si>
    <t>4</t>
  </si>
  <si>
    <t>Demolições de pavimento e barreiras de contenção</t>
  </si>
  <si>
    <t>4.1</t>
  </si>
  <si>
    <t>0307050</t>
  </si>
  <si>
    <t>Fresagem de pavimento asfáltico com espessura até 5 cm, inclusive carregamento, transporte até 1 quilômetro e descarregamento</t>
  </si>
  <si>
    <t>4.2</t>
  </si>
  <si>
    <t>0307030</t>
  </si>
  <si>
    <t>Demolição (levantamento) mecanizada de pavimento asfáltico, inclusive fragmentação e acomodação do material</t>
  </si>
  <si>
    <t>4.3</t>
  </si>
  <si>
    <t>0301200</t>
  </si>
  <si>
    <t>Demolição mecanizada de concreto armado, inclusive fragmentação, carregamento, transporte até 1 quilômetro e descarregamento</t>
  </si>
  <si>
    <t>M3</t>
  </si>
  <si>
    <t>4.4</t>
  </si>
  <si>
    <t>58800</t>
  </si>
  <si>
    <t>RETIRADA DE DEFENSA METÁLICA TIPO SEMI-MALEÁVEL SIMPLES</t>
  </si>
  <si>
    <t>5</t>
  </si>
  <si>
    <t>Drenagem de águas pluviais</t>
  </si>
  <si>
    <t>5.1</t>
  </si>
  <si>
    <t>0702020</t>
  </si>
  <si>
    <t>Escavação mecanizada de valas ou cavas com profundidade de até 2 m</t>
  </si>
  <si>
    <t>5.2</t>
  </si>
  <si>
    <t>5401210</t>
  </si>
  <si>
    <t>Base de brita graduada</t>
  </si>
  <si>
    <t>5.3</t>
  </si>
  <si>
    <t>5.4</t>
  </si>
  <si>
    <t>0801060</t>
  </si>
  <si>
    <t>Escoramento de solo pontaletado</t>
  </si>
  <si>
    <t>5.5</t>
  </si>
  <si>
    <t>62204</t>
  </si>
  <si>
    <t>BOCA DE LOBO DUPLA</t>
  </si>
  <si>
    <t>5.6</t>
  </si>
  <si>
    <t>4912110</t>
  </si>
  <si>
    <t>Poço de visita de 1,60 x 1,60 x 1,60 m - tipo PMSP</t>
  </si>
  <si>
    <t>5.7</t>
  </si>
  <si>
    <t>4906480</t>
  </si>
  <si>
    <t>Tampão em ferro fundido com tampa articulada, de 400 x 600 mm, classe 15 (ruptura &gt; 1500 kg)</t>
  </si>
  <si>
    <t>5.8</t>
  </si>
  <si>
    <t>62100</t>
  </si>
  <si>
    <t>LEVANTAMENTO OU REBAIXAMENTO DE TAMPÃO DE POÇO DE VISITA</t>
  </si>
  <si>
    <t>5.9</t>
  </si>
  <si>
    <t>4612080</t>
  </si>
  <si>
    <t>Tubo de concreto (PA-1), DN= 600mm</t>
  </si>
  <si>
    <t>5.10</t>
  </si>
  <si>
    <t xml:space="preserve">Muro ala </t>
  </si>
  <si>
    <t>5.11</t>
  </si>
  <si>
    <t>0711020</t>
  </si>
  <si>
    <t>Reaterro compactado mecanizado de vala ou cava com compactador</t>
  </si>
  <si>
    <t>5.12</t>
  </si>
  <si>
    <t>102666</t>
  </si>
  <si>
    <t>DRENO SUBSUPERFICIAL (SEÇÃO 0,40 X 0,40 M), COM TUBO DE PEAD CORRUGADO PERFURADO, DN 100 MM, ENCHIMENTO COM BRITA, ENVOLVIDO COM MANTA GEOTÊXTIL. AF_07/2021</t>
  </si>
  <si>
    <t>5.13</t>
  </si>
  <si>
    <t>104492</t>
  </si>
  <si>
    <t>ADUELA/ GALERIA FECHADA PRE-MOLDADA DE CONCRETO ARMADO, SECAO QUADRANGULAR INTERNA DE 2,00 X 2,00 M (L X A), MISULA DE 20 X 20 CM, C = 1,00 M, ESPESSURA MIN = 15 CM, TB-45 E FCK DO CONCRETO = 30 MPA   FORNECIMENTO E ASSENTAMENTO. AF_01/2023</t>
  </si>
  <si>
    <t>5.14</t>
  </si>
  <si>
    <t>Instalação de aduelas de concreto 4,50m x 4,00 m (medidas internas) x 1,00m paredes de 0,30m</t>
  </si>
  <si>
    <t>m</t>
  </si>
  <si>
    <t>5.15</t>
  </si>
  <si>
    <t>1118140</t>
  </si>
  <si>
    <t>Lastro e/ou fundação em rachão mecanizado</t>
  </si>
  <si>
    <t>5.16</t>
  </si>
  <si>
    <t>96620</t>
  </si>
  <si>
    <t>LASTRO DE CONCRETO MAGRO, APLICADO EM PISOS, LAJES SOBRE SOLO OU RADIERS. AF_08/2017</t>
  </si>
  <si>
    <t>5.17</t>
  </si>
  <si>
    <t>10301</t>
  </si>
  <si>
    <t>CORTE E ESPALHAMENTO DENTRO DA OBRA</t>
  </si>
  <si>
    <t>5.18</t>
  </si>
  <si>
    <t>10306</t>
  </si>
  <si>
    <t>ATERRO, INCLUSIVE COMPACTAÇÃO</t>
  </si>
  <si>
    <t>Pavimentação Asfáltica - Avenida</t>
  </si>
  <si>
    <t>6.1</t>
  </si>
  <si>
    <t>ABERTURA DE CAIXA ATÉ 25CM, INCLUI ESCAVAÇÃO, COMPACTAÇÃO, TRANSPORTE E PREPARO DO SUB-LEITO</t>
  </si>
  <si>
    <t>6.2</t>
  </si>
  <si>
    <t>94267</t>
  </si>
  <si>
    <t>GUIA (MEIO-FIO) E SARJETA CONJUGADOS DE CONCRETO, MOLDADA  IN LOCO  EM TRECHO RETO COM EXTRUSORA, 45 CM BASE (15 CM BASE DA GUIA + 30 CM BASE DA SARJETA) X 22 CM ALTURA. AF_06/2016</t>
  </si>
  <si>
    <t>6.3</t>
  </si>
  <si>
    <t>DER</t>
  </si>
  <si>
    <t>23.04.06.03</t>
  </si>
  <si>
    <t xml:space="preserve">SUB-BASE OU BASE DE MACADAME SECO                                              </t>
  </si>
  <si>
    <t>m3</t>
  </si>
  <si>
    <t>6.4</t>
  </si>
  <si>
    <t>6.5</t>
  </si>
  <si>
    <t>5403230</t>
  </si>
  <si>
    <t>Imprimação betuminosa ligante</t>
  </si>
  <si>
    <t>6.6</t>
  </si>
  <si>
    <t>23.08.06.04</t>
  </si>
  <si>
    <t xml:space="preserve">CONCRETO ASFALTICO COM ASFALTO-BORRACHA, GRADUACAO IV                          </t>
  </si>
  <si>
    <t>6.7</t>
  </si>
  <si>
    <t>7</t>
  </si>
  <si>
    <t>Pavimentação Asfáltica - Sobre Aduelas</t>
  </si>
  <si>
    <t>7.1</t>
  </si>
  <si>
    <t>7.2</t>
  </si>
  <si>
    <t>0901020</t>
  </si>
  <si>
    <t>Forma em madeira comum para fundação</t>
  </si>
  <si>
    <t>7.3</t>
  </si>
  <si>
    <t>1002020</t>
  </si>
  <si>
    <t>Armadura em tela soldada de aço</t>
  </si>
  <si>
    <t>KG</t>
  </si>
  <si>
    <t>7.4</t>
  </si>
  <si>
    <t>1101130</t>
  </si>
  <si>
    <t>Concreto usinado, fck = 25 MPa</t>
  </si>
  <si>
    <t>7.5</t>
  </si>
  <si>
    <t>1116080</t>
  </si>
  <si>
    <t>Lançamento e adensamento de concreto ou massa por bombeamento</t>
  </si>
  <si>
    <t>7.6</t>
  </si>
  <si>
    <t>7.7</t>
  </si>
  <si>
    <t>7.8</t>
  </si>
  <si>
    <t>7.9</t>
  </si>
  <si>
    <t>8</t>
  </si>
  <si>
    <t>Recapeamento Asfáltico</t>
  </si>
  <si>
    <t>8.1</t>
  </si>
  <si>
    <t>8.2</t>
  </si>
  <si>
    <t>8.3</t>
  </si>
  <si>
    <t>9</t>
  </si>
  <si>
    <t>Passeio em concreto</t>
  </si>
  <si>
    <t>9.1</t>
  </si>
  <si>
    <t>170242</t>
  </si>
  <si>
    <t>PASSEIO DE CONCRETO, FCK=25MPA, INCLUINDO PREPARO DA CAIXA E LASTRO DE BRITA</t>
  </si>
  <si>
    <t>9.2</t>
  </si>
  <si>
    <t>REBAIXAMENTO DE GUIA</t>
  </si>
  <si>
    <t>9.3</t>
  </si>
  <si>
    <t>3004030</t>
  </si>
  <si>
    <t>Piso em ladrilho hidráulico podotátil várias cores (25x25cm), assentado com argamassa mista</t>
  </si>
  <si>
    <t>10</t>
  </si>
  <si>
    <t>Proteção e fechamentos</t>
  </si>
  <si>
    <t>10.1</t>
  </si>
  <si>
    <t>0210050</t>
  </si>
  <si>
    <t>Locação para muros, cercas e alambrados</t>
  </si>
  <si>
    <t>10.2</t>
  </si>
  <si>
    <t>98522</t>
  </si>
  <si>
    <t>ALAMBRADO EM MOURÕES DE CONCRETO, COM TELA DE ARAME GALVANIZADO (INCLUSIVE MURETA EM CONCRETO). AF_05/2018</t>
  </si>
  <si>
    <t>10.3</t>
  </si>
  <si>
    <t>170182</t>
  </si>
  <si>
    <t>FV15/16 - MURO FECHO EM BLOCO E ESTRUT. CONCRETO FUND. EM BROCAS (H=2,5M)</t>
  </si>
  <si>
    <t>10.4</t>
  </si>
  <si>
    <t>104488</t>
  </si>
  <si>
    <t>COMPOSIÇÃO PARAMÉTRICA PARA EXECUÇÃO DE ESTRUTURAS DE CONCRETO ARMADO, PARA EDIFICAÇÃO INSTITUCIONAL TÉRREA, FCK = 25 MPA. AF_11/2022</t>
  </si>
  <si>
    <t>10.5</t>
  </si>
  <si>
    <t>1411271</t>
  </si>
  <si>
    <t>Alvenaria de bloco de concreto estrutural 19 x 19 x 39 cm - classe A</t>
  </si>
  <si>
    <t>11</t>
  </si>
  <si>
    <t>Sinalização Viária</t>
  </si>
  <si>
    <t>11.1</t>
  </si>
  <si>
    <t>7002016</t>
  </si>
  <si>
    <t>Sinalização horizontal em massa termoplástica à quente por extrusão, espessura de 3,0 mm, para faixas</t>
  </si>
  <si>
    <t>11.2</t>
  </si>
  <si>
    <t>Cotação</t>
  </si>
  <si>
    <t>Fornecimento e Instalação de Grupo Focal Veicular (completo)</t>
  </si>
  <si>
    <t>unid</t>
  </si>
  <si>
    <t>11.3</t>
  </si>
  <si>
    <t>7006021</t>
  </si>
  <si>
    <t>Tachão tipo I monodirecional refletivo</t>
  </si>
  <si>
    <t>12</t>
  </si>
  <si>
    <t>Iluminação Pública</t>
  </si>
  <si>
    <t>12.1</t>
  </si>
  <si>
    <t>0117121</t>
  </si>
  <si>
    <t>Projeto executivo de instalações elétricas em formato A0</t>
  </si>
  <si>
    <t>12.2</t>
  </si>
  <si>
    <t>90154</t>
  </si>
  <si>
    <t>ENTRADA AÉREA DE ENERGIA E TELEFONE - 17 À 20KVA</t>
  </si>
  <si>
    <t>12.3</t>
  </si>
  <si>
    <t>3921060</t>
  </si>
  <si>
    <t>Cabo de cobre flexível de 16 mm², isolamento 0,6/1kV - isolação HEPR 90°C</t>
  </si>
  <si>
    <t>12.4</t>
  </si>
  <si>
    <t>97891</t>
  </si>
  <si>
    <t>CAIXA ENTERRADA ELÉTRICA RETANGULAR, EM ALVENARIA COM BLOCOS DE CONCRETO, FUNDO COM BRITA, DIMENSÕES INTERNAS: 0,4X0,4X0,4 M. AF_12/2020</t>
  </si>
  <si>
    <t>12.5</t>
  </si>
  <si>
    <t>3813030</t>
  </si>
  <si>
    <t>Eletroduto corrugado em polietileno de alta densidade, DN= 75 mm, com acessórios</t>
  </si>
  <si>
    <t>12.6</t>
  </si>
  <si>
    <t>3801060</t>
  </si>
  <si>
    <t>Eletroduto de PVC rígido roscável de 1´ - com acessórios</t>
  </si>
  <si>
    <t>12.7</t>
  </si>
  <si>
    <t>6801750</t>
  </si>
  <si>
    <t>Poste de concreto circular, 400 kg, H = 11,00 m</t>
  </si>
  <si>
    <t>12.8</t>
  </si>
  <si>
    <t>3713630</t>
  </si>
  <si>
    <t>Disjuntor termomagnético, bipolar 220/380 V, corrente de 10 A até 50 A</t>
  </si>
  <si>
    <t>12.9</t>
  </si>
  <si>
    <t>90375</t>
  </si>
  <si>
    <t>CABO FLEXÍVEL PVC-750V - 3 CONDUTORES - 1,5MM2</t>
  </si>
  <si>
    <t>12.10</t>
  </si>
  <si>
    <t>4205200</t>
  </si>
  <si>
    <t>Haste de aterramento de 5/8" x 2,4 m</t>
  </si>
  <si>
    <t>12.11</t>
  </si>
  <si>
    <t>4205110</t>
  </si>
  <si>
    <t>Conector cabo/haste de 3/4´</t>
  </si>
  <si>
    <t>13</t>
  </si>
  <si>
    <t>Muro de pedra</t>
  </si>
  <si>
    <t>13.1</t>
  </si>
  <si>
    <t>0807090</t>
  </si>
  <si>
    <t>Esgotamento de águas superficiais com bomba de superfície ou submersa</t>
  </si>
  <si>
    <t>HPXh</t>
  </si>
  <si>
    <t>13.2</t>
  </si>
  <si>
    <t>13.3</t>
  </si>
  <si>
    <t>13.4</t>
  </si>
  <si>
    <t>0810060</t>
  </si>
  <si>
    <t>Enrocamento com pedra assentada</t>
  </si>
  <si>
    <t>13.5</t>
  </si>
  <si>
    <t>Pilares de concreto para muro de pedra 4,00m</t>
  </si>
  <si>
    <t>un</t>
  </si>
  <si>
    <t>13.6</t>
  </si>
  <si>
    <t>Vigas de concreto para muro de pedra  (sendo 0,30 x 0,30 respaldo, 0,30 x 0,30 intermediaria e 1,00 x 0,30 de base)</t>
  </si>
  <si>
    <t>13.7</t>
  </si>
  <si>
    <t>Vigas de concreto para contraforte (sendo 0,30 x 0,30 x 7,50 )</t>
  </si>
  <si>
    <t xml:space="preserve">un </t>
  </si>
  <si>
    <t>13.8</t>
  </si>
  <si>
    <t>102726</t>
  </si>
  <si>
    <t>DRENO BARBACÃ, DN 50 MM, COM MATERIAL DRENANTE. AF_07/2021</t>
  </si>
  <si>
    <t>13.9</t>
  </si>
  <si>
    <t>0712020</t>
  </si>
  <si>
    <t>Compactação de aterro mecanizado mínimo de 95% PN, sem fornecimento de solo em campo aberto</t>
  </si>
  <si>
    <t>14</t>
  </si>
  <si>
    <t>Concreto projetado</t>
  </si>
  <si>
    <t>14.1</t>
  </si>
  <si>
    <t>14.2</t>
  </si>
  <si>
    <t>91069</t>
  </si>
  <si>
    <t>EXECUÇÃO DE REVESTIMENTO DE CONCRETO PROJETADO COM ESPESSURA DE 7 CM, ARMADO COM TELA, INCLINAÇÃO MENOR QUE 90°, APLICAÇÃO CONTÍNUA, UTILIZANDO EQUIPAMENTO DE PROJEÇÃO COM 6 M³/H DE CAPACIDADE. AF_01/2016</t>
  </si>
  <si>
    <t>14.3</t>
  </si>
  <si>
    <t>100703</t>
  </si>
  <si>
    <t>FORNECIMENTO, PREPARO E APLICAÇÃO DE CONCRETO PROJETADO, MEDIDO NO PROJETO - FCK = 25MPA - EM OBRAS DE CONTENÇÃO</t>
  </si>
  <si>
    <t>14.4</t>
  </si>
  <si>
    <t>93953</t>
  </si>
  <si>
    <t>EXECUÇÃO DE GRAMPO PARA SOLO GRAMPEADO COM COMPRIMENTO MAIOR QUE 4 M E MENOR OU IGUAL A 6 M, DIÂMETRO DE 10 CM, PERFURAÇÃO COM EQUIPAMENTO MANUAL E ARMADURA COM DIÂMETRO DE 16 MM. AF_05/2016</t>
  </si>
  <si>
    <t>15</t>
  </si>
  <si>
    <t>Serviços Complementares</t>
  </si>
  <si>
    <t>15.1</t>
  </si>
  <si>
    <t>0710020</t>
  </si>
  <si>
    <t>Espalhamento de solo em bota-fora com compactação sem controle</t>
  </si>
  <si>
    <t>15.2</t>
  </si>
  <si>
    <t>100575</t>
  </si>
  <si>
    <t>REGULARIZAÇÃO DE SUPERFÍCIES COM MOTONIVELADORA. AF_11/2019</t>
  </si>
  <si>
    <t>15.3</t>
  </si>
  <si>
    <t>103946</t>
  </si>
  <si>
    <t>PLANTIO DE GRAMA ESMERALDA OU SÃO CARLOS OU CURITIBANA, EM PLACAS. AF_05/2022</t>
  </si>
  <si>
    <t>16</t>
  </si>
  <si>
    <t>Pontes</t>
  </si>
  <si>
    <t>16.1</t>
  </si>
  <si>
    <t>Fundação/Mesoestrutura</t>
  </si>
  <si>
    <t>16.1.1</t>
  </si>
  <si>
    <t>0210020</t>
  </si>
  <si>
    <t>Locação de obra de edificação</t>
  </si>
  <si>
    <t>16.1.2</t>
  </si>
  <si>
    <t>1204080</t>
  </si>
  <si>
    <t>Taxa de mobilização e desmobilização de equipamentos para execução de estaca pré-moldada</t>
  </si>
  <si>
    <t>16.1.3</t>
  </si>
  <si>
    <t>1207010</t>
  </si>
  <si>
    <t>Taxa de mobilização e desmobilização de equipamentos para execução de estaca tipo Raiz em solo</t>
  </si>
  <si>
    <t>16.1.4</t>
  </si>
  <si>
    <t>1204084</t>
  </si>
  <si>
    <t>Estaca pré-moldada protendida cravada para 50t</t>
  </si>
  <si>
    <t>16.1.5</t>
  </si>
  <si>
    <t>20162</t>
  </si>
  <si>
    <t>ESTACA RAIZ DIÂMETRO DE 250MM PARA ATÉ 80 TF</t>
  </si>
  <si>
    <t>16.1.6</t>
  </si>
  <si>
    <t>16.1.7</t>
  </si>
  <si>
    <t>1118040</t>
  </si>
  <si>
    <t>Lastro de pedra britada</t>
  </si>
  <si>
    <t>16.1.8</t>
  </si>
  <si>
    <t>1102020</t>
  </si>
  <si>
    <t>Concreto usinado não estrutural mínimo 150 kg cimento / m³</t>
  </si>
  <si>
    <t>16.1.9</t>
  </si>
  <si>
    <t>1101160</t>
  </si>
  <si>
    <t>Concreto usinado, fck = 30 MPa</t>
  </si>
  <si>
    <t>16.1.10</t>
  </si>
  <si>
    <t>1116040</t>
  </si>
  <si>
    <t>Lançamento e adensamento de concreto ou massa em fundação</t>
  </si>
  <si>
    <t>16.1.11</t>
  </si>
  <si>
    <t>1001040</t>
  </si>
  <si>
    <t>Armadura em barra de aço CA-50 (A ou B) fyk = 500 MPa</t>
  </si>
  <si>
    <t>16.1.12</t>
  </si>
  <si>
    <t>0901030</t>
  </si>
  <si>
    <t>Forma em madeira comum para estrutura</t>
  </si>
  <si>
    <t>16.2</t>
  </si>
  <si>
    <t>Laje/Tabuleiro</t>
  </si>
  <si>
    <t>16.2.1</t>
  </si>
  <si>
    <t>16.2.2</t>
  </si>
  <si>
    <t>16.2.3</t>
  </si>
  <si>
    <t>16.2.4</t>
  </si>
  <si>
    <t>16.2.5</t>
  </si>
  <si>
    <t>1503030</t>
  </si>
  <si>
    <t>Fornecimento e montagem de estrutura em aço ASTM-A36, sem pintura</t>
  </si>
  <si>
    <t>16.2.6</t>
  </si>
  <si>
    <t>3208160</t>
  </si>
  <si>
    <t>Junta elástica estrutural de neoprene</t>
  </si>
  <si>
    <t>16.3</t>
  </si>
  <si>
    <t>New Jersey e Guarda Corpo</t>
  </si>
  <si>
    <t>16.3.1</t>
  </si>
  <si>
    <t>16.3.2</t>
  </si>
  <si>
    <t>3813010</t>
  </si>
  <si>
    <t>Eletroduto corrugado em polietileno de alta densidade, DN= 30 mm, com acessórios</t>
  </si>
  <si>
    <t>16.3.3</t>
  </si>
  <si>
    <t>DP.04 - CORRIMÃO EM TUBO GALVANIZADO</t>
  </si>
  <si>
    <t>16.3.4</t>
  </si>
  <si>
    <t>26.11.06</t>
  </si>
  <si>
    <t xml:space="preserve">BAR. DOU.FACE NEW JERSEY O.A.E.DES.5464                                        </t>
  </si>
  <si>
    <t>16.4</t>
  </si>
  <si>
    <t>Iluminação</t>
  </si>
  <si>
    <t>16.4.1</t>
  </si>
  <si>
    <t>16.4.2</t>
  </si>
  <si>
    <t>16.4.3</t>
  </si>
  <si>
    <t>16.4.4</t>
  </si>
  <si>
    <t>16.4.5</t>
  </si>
  <si>
    <t>4110330</t>
  </si>
  <si>
    <t>Poste telecônico reto em aço SAE 1010/1020 galvanizado a fogo, altura de 10,00 m</t>
  </si>
  <si>
    <t>16.4.6</t>
  </si>
  <si>
    <t>16.4.7</t>
  </si>
  <si>
    <t>CABO 2,50MM2 - ISOLAMENTO PARA 0,7KV - CLASSE 4 - FLEXÍVEL</t>
  </si>
  <si>
    <t>16.4.8</t>
  </si>
  <si>
    <t>16.4.9</t>
  </si>
  <si>
    <t>16.5</t>
  </si>
  <si>
    <t>Tratamento superficial de concreto (new jersey)</t>
  </si>
  <si>
    <t>16.5.1</t>
  </si>
  <si>
    <t>3303780</t>
  </si>
  <si>
    <t>Verniz de proteção antipichação</t>
  </si>
  <si>
    <t>16.6</t>
  </si>
  <si>
    <t>Pintura em perfis metálicos e corrimão</t>
  </si>
  <si>
    <t>16.6.1</t>
  </si>
  <si>
    <t>100719</t>
  </si>
  <si>
    <t>PINTURA COM TINTA ALQUÍDICA DE FUNDO (TIPO ZARCÃO) PULVERIZADA SOBRE PERFIL METÁLICO EXECUTADO EM FÁBRICA (POR DEMÃO). AF_01/2020_PE</t>
  </si>
  <si>
    <t>16.6.2</t>
  </si>
  <si>
    <t>Esmalte à base água em superfície metálica, inclusive preparo</t>
  </si>
  <si>
    <t>17</t>
  </si>
  <si>
    <t>Rede de água e esgoto SABESP</t>
  </si>
  <si>
    <t>17.1</t>
  </si>
  <si>
    <t>REDE DE ÁGUA E ESGOTO - TRECHO 3</t>
  </si>
  <si>
    <t>17.1.1</t>
  </si>
  <si>
    <t>Banco de preço SABESP</t>
  </si>
  <si>
    <t>E RDA PVC Ø 75MM</t>
  </si>
  <si>
    <t>17.1.2</t>
  </si>
  <si>
    <t>C RCE PVC Ø 200MM PROF ATÉ 1,50M</t>
  </si>
  <si>
    <t>17.1.3</t>
  </si>
  <si>
    <t>POÇO VISITA PROF. ATÉ 2,00M</t>
  </si>
  <si>
    <t>Un</t>
  </si>
  <si>
    <t>17.1.4</t>
  </si>
  <si>
    <t>TAMPÃO ART FF DN 600 MM COM ARO NTS 033</t>
  </si>
  <si>
    <t>17.2</t>
  </si>
  <si>
    <t>REDE DE ÁGUA E ESGOTO - TRECHO 4</t>
  </si>
  <si>
    <t>17.2.1</t>
  </si>
  <si>
    <t>17.2.2</t>
  </si>
  <si>
    <t>17.2.3</t>
  </si>
  <si>
    <t>17.2.4</t>
  </si>
  <si>
    <t>17.3</t>
  </si>
  <si>
    <t>REDE DE ÁGUA E ESGOTO - TRECHO 5</t>
  </si>
  <si>
    <t>17.3.1</t>
  </si>
  <si>
    <t>17.3.2</t>
  </si>
  <si>
    <t>17.3.3</t>
  </si>
  <si>
    <t>17.3.4</t>
  </si>
  <si>
    <t>17.4</t>
  </si>
  <si>
    <t>REDE DE ÁGUA E ESGOTO - TRECHO 6</t>
  </si>
  <si>
    <t>17.4.1</t>
  </si>
  <si>
    <t>17.4.2</t>
  </si>
  <si>
    <t>17.4.3</t>
  </si>
  <si>
    <t>17.4.4</t>
  </si>
  <si>
    <t>17.5</t>
  </si>
  <si>
    <t>REDE DE ÁGUA E ESGOTO - TRECHO 7</t>
  </si>
  <si>
    <t>Prefeitura Municipal de Itatiba, 11 de setembro de 2023</t>
  </si>
  <si>
    <t xml:space="preserve">         Dr. Adilson Franco Penteado</t>
  </si>
  <si>
    <t xml:space="preserve">             Engº. Civil - CREA/SP 060.055.351-3</t>
  </si>
  <si>
    <t xml:space="preserve">             Secretário de Obras e Serviços Públicos</t>
  </si>
  <si>
    <t>Engª Amanda Costa Magalhães</t>
  </si>
  <si>
    <t>CREA: 506.338.959-1</t>
  </si>
  <si>
    <t>Setor de Orçamentos</t>
  </si>
  <si>
    <t>Cassio Augusto de Freitas</t>
  </si>
  <si>
    <t>Fiscal de Obras</t>
  </si>
  <si>
    <t>CRONOGRAMA FÍSICO / FINANCEIRO</t>
  </si>
  <si>
    <t>DISCRIMINAÇÃO</t>
  </si>
  <si>
    <t>TOTAL DO ITEM</t>
  </si>
  <si>
    <t>PRIMEIRO</t>
  </si>
  <si>
    <t>SEGUNDO</t>
  </si>
  <si>
    <t>TERCEIRO</t>
  </si>
  <si>
    <t>QUARTO</t>
  </si>
  <si>
    <t>QUINTO</t>
  </si>
  <si>
    <t>SEXTO</t>
  </si>
  <si>
    <t>SETIMO</t>
  </si>
  <si>
    <t>OITAVO</t>
  </si>
  <si>
    <t>NONO</t>
  </si>
  <si>
    <t>DECIMO</t>
  </si>
  <si>
    <t>DECIMO PRIMEIRO</t>
  </si>
  <si>
    <t>DECIMO SEGUNDO</t>
  </si>
  <si>
    <t>( % / R$ )</t>
  </si>
  <si>
    <t>MÊS</t>
  </si>
  <si>
    <t>TOTAL GERAL:</t>
  </si>
  <si>
    <t>DESEMBOLSO TOTAL DO MÊS (R$):</t>
  </si>
  <si>
    <t>MENSAL</t>
  </si>
  <si>
    <t>ACUM.</t>
  </si>
  <si>
    <t>PERCENTUAL:</t>
  </si>
  <si>
    <t>Prefeitura Municipal de Itatiba, 07 de julho 2023</t>
  </si>
  <si>
    <r>
      <rPr>
        <sz val="12"/>
        <color indexed="8"/>
        <rFont val="Arial"/>
        <family val="2"/>
      </rPr>
      <t xml:space="preserve">          </t>
    </r>
    <r>
      <rPr>
        <sz val="11"/>
        <color indexed="8"/>
        <rFont val="Arial Narrow"/>
        <family val="2"/>
      </rPr>
      <t>MARLI DE FÁTIMA PETRONILIO ANTENOR</t>
    </r>
  </si>
  <si>
    <t xml:space="preserve">                      Engª. Civil - CREA/SP 0601758059</t>
  </si>
  <si>
    <t xml:space="preserve">              Secretaria Adjunta de Obras e Serviços Públicos</t>
  </si>
  <si>
    <t xml:space="preserve">MENSAL </t>
  </si>
  <si>
    <t>Conforme legislação tributária municipal, definir estimativa de percentual da base de cálculo para o ISS:</t>
  </si>
  <si>
    <t>Sobre a base de cálculo, definir a respectiva alíquota do ISS (entre 2% e 5%):</t>
  </si>
  <si>
    <t>DETALHAMENTO DO BDI</t>
  </si>
  <si>
    <t>Item</t>
  </si>
  <si>
    <t>Descrição dos Serviços</t>
  </si>
  <si>
    <t>Siglas</t>
  </si>
  <si>
    <t>%</t>
  </si>
  <si>
    <t>SEM DESONERAÇÃO</t>
  </si>
  <si>
    <t>Administração Central</t>
  </si>
  <si>
    <t>AC</t>
  </si>
  <si>
    <t>Seguro e Garantias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</si>
  <si>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</si>
  <si>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</si>
  <si>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</si>
  <si>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</si>
  <si>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</si>
  <si>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</si>
  <si>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</si>
  <si>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 e PIS 0,65%)</t>
  </si>
  <si>
    <t>CP</t>
  </si>
  <si>
    <t>Tributos (ISS)</t>
  </si>
  <si>
    <t>ISS</t>
  </si>
  <si>
    <t>Tributos (Contribuição Previdenciária de Receita Bruta)</t>
  </si>
  <si>
    <t>CPRB</t>
  </si>
  <si>
    <t>BDI CALCULADO</t>
  </si>
  <si>
    <t>BDI CALCULADO CONFORME ACÓRDÃO Nº 2369/2011 – TCU</t>
  </si>
  <si>
    <t>Prefeitura Municipal de Itatiba, 07 de julho de 2023</t>
  </si>
  <si>
    <t xml:space="preserve">Fonte </t>
  </si>
  <si>
    <t>Codigo</t>
  </si>
  <si>
    <t>Descrição</t>
  </si>
  <si>
    <t>Unidade</t>
  </si>
  <si>
    <t>coefic</t>
  </si>
  <si>
    <t>Custo</t>
  </si>
  <si>
    <t>Total</t>
  </si>
  <si>
    <t xml:space="preserve">Composição </t>
  </si>
  <si>
    <t>Muro Ala</t>
  </si>
  <si>
    <t>Sinapi</t>
  </si>
  <si>
    <t>ALVENARIA DE VEDAÇÃO DE BLOCOS CERÂMICOS FURADOS NA VERTICAL DE 14X19X39 CM (ESPESSURA 14 CM) E ARGAMASSA DE ASSENTAMENTO COM PREPARO EM BETONEIRA. AF_12/2021</t>
  </si>
  <si>
    <t>m²</t>
  </si>
  <si>
    <t>17.02.020</t>
  </si>
  <si>
    <t>CHAPISCO</t>
  </si>
  <si>
    <t>17.02.120</t>
  </si>
  <si>
    <t>EMBOÇO COMUM</t>
  </si>
  <si>
    <t>CONCRETO FCK = 25MPA, TRAÇO 1:2,2:2,5 (EM MASSA SECA DE CIMENTO/ AREIA MÉDIA/ SEIXO ROLADO) - PREPARO MECÂNICO COM BETONEIRA 400 L. AF_05/2021</t>
  </si>
  <si>
    <t>m³</t>
  </si>
  <si>
    <t>11.16.060</t>
  </si>
  <si>
    <t>LANÇAMENTO E ADENSAMENTO DE CONCRETO OU MASSA EM ESTRUTURA</t>
  </si>
  <si>
    <t>CONCRETO "GROUT"</t>
  </si>
  <si>
    <t>11.18.140</t>
  </si>
  <si>
    <t>LASTRO E/OU FUNDAÇÃO EM RACHÃO MECANIZADO</t>
  </si>
  <si>
    <t>11.01.130</t>
  </si>
  <si>
    <t>Lançamento e adensamento de concreto ou massa em estrutura</t>
  </si>
  <si>
    <t>10.01.040</t>
  </si>
  <si>
    <t>Kg</t>
  </si>
  <si>
    <t>Vigas de concreto para muro de pedra (sendo 0,30 x 0,30 respaldo 0,30 x 0,30 intermediaria e 1,00 x 0,30 de base)</t>
  </si>
  <si>
    <t>Vigas de concreto para contraforte (sendo 0,30x0,30x7,50)</t>
  </si>
  <si>
    <t>Instalação de aduelas de concreto 4,50m x 4,00m (medidas internas) x 1,00m de paredes de 0,30m</t>
  </si>
  <si>
    <t>Aduela/ galeria pre-moldada de concreto armado, seção retangular de 4,50x4,00x1,00x0,30 Tb-45</t>
  </si>
  <si>
    <t>Und</t>
  </si>
  <si>
    <t>GUINDASTE HIDRÁULICO AUTOPROPELIDO, COM LANÇA TELESCÓPICA 28,80 M, CAPACIDADE MÁXIMA 30 T, POTÊNCIA 97 KW, TRAÇÃO 4 X 4 - CHP DIURNO. AF_11/2014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</si>
  <si>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</si>
  <si>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Ensaio de Compactação – Amostras não trabalhadas – energia Normal – Solos</t>
  </si>
  <si>
    <t>AUXILIAR DE LABORATÓRIO COM ENCARGOS COMPLEMENTARES</t>
  </si>
  <si>
    <t>TÉCNICO DE LABORATÓRIO COM ENCARGOS COMPLEMENTARES</t>
  </si>
  <si>
    <t>SUGESTÃO DE QUALIFICAÇÃO TÉCNICA</t>
  </si>
  <si>
    <t>QUANT</t>
  </si>
  <si>
    <t>Pavimentação asfáltica</t>
  </si>
  <si>
    <t>OK</t>
  </si>
  <si>
    <t>Base e/ou sub base para pavimentação</t>
  </si>
  <si>
    <t>Abertura e preparo de caixa</t>
  </si>
  <si>
    <t>X</t>
  </si>
  <si>
    <t xml:space="preserve">Guia e sarjeta </t>
  </si>
  <si>
    <t xml:space="preserve">Rede de drenagem  de águas pluviais </t>
  </si>
  <si>
    <t>Assentamento de aduelas de concreto</t>
  </si>
  <si>
    <t>Execução de grampo para solo grampeado</t>
  </si>
  <si>
    <t>Fornecimento e montagem de estrutura metálica</t>
  </si>
  <si>
    <t>kg</t>
  </si>
  <si>
    <t>Concreto armado</t>
  </si>
  <si>
    <t>Prefeitura Municipal de Itatiba, 11 de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</si>
</sst>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[$R$-416]\ #,##0.00;[Red]\-[$R$-416]\ #,##0.00"/>
    <numFmt numFmtId="166" formatCode="&quot;R$ &quot;#,##0.00"/>
    <numFmt numFmtId="167" formatCode="00000000"/>
    <numFmt numFmtId="168" formatCode="#,##0.00;[Red]#,##0.00"/>
    <numFmt numFmtId="169" formatCode="00"/>
    <numFmt numFmtId="170" formatCode="#,##0.00\ ;#,##0.00\ ;\-#\ ;@\ "/>
  </numFmts>
  <fonts count="37">
    <font>
      <sz val="11"/>
      <color indexed="8"/>
      <name val="Liberation Sans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 MT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1"/>
    </font>
    <font>
      <b/>
      <sz val="12"/>
      <color indexed="8"/>
      <name val="Arial1"/>
    </font>
    <font>
      <b/>
      <sz val="8"/>
      <color indexed="8"/>
      <name val="Arial1"/>
    </font>
    <font>
      <sz val="11"/>
      <color indexed="8"/>
      <name val="Arial Narrow"/>
      <family val="2"/>
    </font>
    <font>
      <b/>
      <sz val="14"/>
      <color indexed="8"/>
      <name val="Arial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9"/>
      <name val="Calibri2"/>
      <charset val="1"/>
    </font>
    <font>
      <sz val="11"/>
      <color indexed="9"/>
      <name val="Calibri2"/>
      <charset val="1"/>
    </font>
    <font>
      <sz val="11"/>
      <color indexed="8"/>
      <name val="Calibri2"/>
      <charset val="1"/>
    </font>
    <font>
      <b/>
      <sz val="10"/>
      <color indexed="8"/>
      <name val="Arial21"/>
      <charset val="1"/>
    </font>
    <font>
      <b/>
      <sz val="11"/>
      <color indexed="8"/>
      <name val="Calibri2"/>
      <charset val="1"/>
    </font>
    <font>
      <sz val="10"/>
      <color indexed="8"/>
      <name val="Arial21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Liberation Sans1"/>
    </font>
    <font>
      <sz val="8"/>
      <name val="Calibri"/>
      <family val="2"/>
    </font>
    <font>
      <sz val="11"/>
      <color indexed="48"/>
      <name val="Liberation Sans1"/>
    </font>
    <font>
      <sz val="11"/>
      <color indexed="10"/>
      <name val="Liberation Sans1"/>
    </font>
    <font>
      <sz val="11"/>
      <color indexed="8"/>
      <name val="Liberation Sans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27"/>
        <bgColor indexed="9"/>
      </patternFill>
    </fill>
    <fill>
      <patternFill patternType="solid">
        <fgColor indexed="41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24"/>
        <bgColor indexed="55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37">
    <border>
      <left/>
      <right/>
      <top/>
      <bottom/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 style="thin">
        <color indexed="12"/>
      </left>
      <right style="thin">
        <color indexed="12"/>
      </right>
      <top style="thin">
        <color indexed="4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48"/>
      </top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48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30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2"/>
      </left>
      <right style="thin">
        <color indexed="4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9" fontId="2" fillId="0" borderId="0"/>
    <xf numFmtId="170" fontId="2" fillId="0" borderId="0"/>
    <xf numFmtId="164" fontId="36" fillId="0" borderId="0" applyFill="0" applyBorder="0" applyAlignment="0" applyProtection="0"/>
  </cellStyleXfs>
  <cellXfs count="22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 applyProtection="1">
      <alignment horizontal="right" vertical="center"/>
    </xf>
    <xf numFmtId="165" fontId="3" fillId="0" borderId="0" xfId="0" applyNumberFormat="1" applyFont="1" applyAlignment="1" applyProtection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4" fillId="3" borderId="1" xfId="0" applyNumberFormat="1" applyFont="1" applyFill="1" applyBorder="1" applyAlignment="1" applyProtection="1">
      <alignment horizontal="center" vertical="center" wrapText="1"/>
    </xf>
    <xf numFmtId="165" fontId="4" fillId="3" borderId="2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0" fontId="4" fillId="3" borderId="3" xfId="0" applyNumberFormat="1" applyFont="1" applyFill="1" applyBorder="1" applyAlignment="1" applyProtection="1">
      <alignment horizontal="center" vertical="center" wrapText="1"/>
    </xf>
    <xf numFmtId="165" fontId="4" fillId="3" borderId="4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0" fontId="3" fillId="2" borderId="8" xfId="0" applyFont="1" applyFill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2" borderId="0" xfId="0" applyFont="1" applyFill="1" applyAlignment="1">
      <alignment vertical="center" wrapText="1"/>
    </xf>
    <xf numFmtId="4" fontId="3" fillId="4" borderId="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 applyProtection="1">
      <alignment vertical="center"/>
    </xf>
    <xf numFmtId="0" fontId="1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4" fontId="4" fillId="4" borderId="21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68" fontId="19" fillId="3" borderId="20" xfId="0" applyNumberFormat="1" applyFont="1" applyFill="1" applyBorder="1" applyAlignment="1">
      <alignment horizontal="center" vertical="center"/>
    </xf>
    <xf numFmtId="10" fontId="19" fillId="0" borderId="20" xfId="3" applyNumberFormat="1" applyFont="1" applyBorder="1" applyAlignment="1">
      <alignment horizontal="center" vertical="center"/>
    </xf>
    <xf numFmtId="10" fontId="19" fillId="0" borderId="20" xfId="3" applyNumberFormat="1" applyFont="1" applyBorder="1" applyAlignment="1">
      <alignment horizontal="center" vertical="center" wrapText="1"/>
    </xf>
    <xf numFmtId="10" fontId="0" fillId="0" borderId="0" xfId="0" applyNumberFormat="1"/>
    <xf numFmtId="168" fontId="19" fillId="0" borderId="20" xfId="4" applyNumberFormat="1" applyFont="1" applyBorder="1" applyAlignment="1">
      <alignment horizontal="center" vertical="center"/>
    </xf>
    <xf numFmtId="10" fontId="19" fillId="0" borderId="20" xfId="3" applyNumberFormat="1" applyFont="1" applyFill="1" applyBorder="1" applyAlignment="1">
      <alignment horizontal="center" vertical="center" wrapText="1"/>
    </xf>
    <xf numFmtId="168" fontId="19" fillId="0" borderId="20" xfId="4" applyNumberFormat="1" applyFont="1" applyFill="1" applyBorder="1" applyAlignment="1">
      <alignment horizontal="center" vertical="center"/>
    </xf>
    <xf numFmtId="10" fontId="19" fillId="3" borderId="20" xfId="3" applyNumberFormat="1" applyFont="1" applyFill="1" applyBorder="1" applyAlignment="1">
      <alignment horizontal="center" vertical="center"/>
    </xf>
    <xf numFmtId="168" fontId="19" fillId="0" borderId="20" xfId="0" applyNumberFormat="1" applyFont="1" applyBorder="1" applyAlignment="1">
      <alignment horizontal="left" vertical="center"/>
    </xf>
    <xf numFmtId="165" fontId="19" fillId="3" borderId="20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8" fontId="21" fillId="0" borderId="0" xfId="0" applyNumberFormat="1" applyFont="1" applyAlignment="1">
      <alignment vertical="center"/>
    </xf>
    <xf numFmtId="4" fontId="0" fillId="0" borderId="0" xfId="0" applyNumberFormat="1"/>
    <xf numFmtId="2" fontId="0" fillId="0" borderId="0" xfId="0" applyNumberFormat="1"/>
    <xf numFmtId="10" fontId="19" fillId="6" borderId="20" xfId="3" applyNumberFormat="1" applyFont="1" applyFill="1" applyBorder="1" applyAlignment="1">
      <alignment horizontal="center" vertical="center" wrapText="1"/>
    </xf>
    <xf numFmtId="168" fontId="19" fillId="0" borderId="20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9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7" borderId="0" xfId="0" applyFont="1" applyFill="1"/>
    <xf numFmtId="0" fontId="26" fillId="7" borderId="0" xfId="0" applyFont="1" applyFill="1"/>
    <xf numFmtId="0" fontId="26" fillId="7" borderId="0" xfId="0" applyFont="1" applyFill="1" applyAlignment="1">
      <alignment horizontal="center"/>
    </xf>
    <xf numFmtId="0" fontId="27" fillId="3" borderId="2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10" fontId="27" fillId="0" borderId="20" xfId="0" applyNumberFormat="1" applyFont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2" fontId="27" fillId="0" borderId="20" xfId="0" applyNumberFormat="1" applyFont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left" vertical="center"/>
    </xf>
    <xf numFmtId="2" fontId="31" fillId="3" borderId="20" xfId="0" applyNumberFormat="1" applyFont="1" applyFill="1" applyBorder="1" applyAlignment="1">
      <alignment horizontal="center" vertical="center"/>
    </xf>
    <xf numFmtId="10" fontId="31" fillId="3" borderId="2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0" fillId="0" borderId="0" xfId="0" applyNumberFormat="1"/>
    <xf numFmtId="0" fontId="32" fillId="8" borderId="22" xfId="0" applyFont="1" applyFill="1" applyBorder="1" applyAlignment="1">
      <alignment horizontal="center"/>
    </xf>
    <xf numFmtId="165" fontId="32" fillId="8" borderId="22" xfId="0" applyNumberFormat="1" applyFont="1" applyFill="1" applyBorder="1"/>
    <xf numFmtId="0" fontId="0" fillId="9" borderId="22" xfId="0" applyFont="1" applyFill="1" applyBorder="1"/>
    <xf numFmtId="165" fontId="0" fillId="9" borderId="22" xfId="0" applyNumberFormat="1" applyFont="1" applyFill="1" applyBorder="1"/>
    <xf numFmtId="0" fontId="0" fillId="0" borderId="22" xfId="0" applyFont="1" applyBorder="1"/>
    <xf numFmtId="0" fontId="33" fillId="0" borderId="22" xfId="0" applyFont="1" applyBorder="1" applyAlignment="1">
      <alignment wrapText="1"/>
    </xf>
    <xf numFmtId="165" fontId="0" fillId="0" borderId="22" xfId="0" applyNumberFormat="1" applyBorder="1"/>
    <xf numFmtId="0" fontId="0" fillId="9" borderId="22" xfId="0" applyFont="1" applyFill="1" applyBorder="1" applyAlignment="1">
      <alignment vertical="center"/>
    </xf>
    <xf numFmtId="0" fontId="0" fillId="9" borderId="22" xfId="0" applyFont="1" applyFill="1" applyBorder="1" applyAlignment="1">
      <alignment vertical="center" wrapText="1"/>
    </xf>
    <xf numFmtId="165" fontId="0" fillId="9" borderId="2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9" borderId="22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165" fontId="12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0" fillId="0" borderId="16" xfId="0" applyBorder="1"/>
    <xf numFmtId="0" fontId="0" fillId="0" borderId="23" xfId="0" applyBorder="1"/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2" fillId="4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2" fontId="0" fillId="4" borderId="24" xfId="0" applyNumberFormat="1" applyFon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0" fontId="34" fillId="1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1" fillId="3" borderId="24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3" borderId="26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 applyProtection="1">
      <alignment horizontal="center" vertical="center"/>
    </xf>
    <xf numFmtId="165" fontId="7" fillId="3" borderId="27" xfId="0" applyNumberFormat="1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169" fontId="20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168" fontId="19" fillId="3" borderId="20" xfId="0" applyNumberFormat="1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20" xfId="0" applyBorder="1"/>
    <xf numFmtId="0" fontId="23" fillId="0" borderId="20" xfId="0" applyFont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4" borderId="34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32" fillId="3" borderId="32" xfId="0" applyFont="1" applyFill="1" applyBorder="1" applyAlignment="1">
      <alignment horizontal="center" vertical="center"/>
    </xf>
    <xf numFmtId="0" fontId="32" fillId="4" borderId="33" xfId="0" applyFont="1" applyFill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left" vertical="center" wrapText="1"/>
    </xf>
    <xf numFmtId="165" fontId="4" fillId="4" borderId="3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right" vertical="center"/>
    </xf>
    <xf numFmtId="166" fontId="1" fillId="0" borderId="35" xfId="0" applyNumberFormat="1" applyFont="1" applyFill="1" applyBorder="1" applyAlignment="1">
      <alignment horizontal="right" vertical="center" wrapText="1"/>
    </xf>
    <xf numFmtId="165" fontId="3" fillId="0" borderId="35" xfId="0" applyNumberFormat="1" applyFont="1" applyBorder="1" applyAlignment="1" applyProtection="1">
      <alignment horizontal="right" vertical="center" wrapText="1"/>
    </xf>
    <xf numFmtId="165" fontId="3" fillId="0" borderId="35" xfId="0" applyNumberFormat="1" applyFont="1" applyBorder="1" applyAlignment="1" applyProtection="1">
      <alignment horizontal="right" vertical="center"/>
    </xf>
    <xf numFmtId="49" fontId="3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166" fontId="1" fillId="0" borderId="35" xfId="0" applyNumberFormat="1" applyFont="1" applyFill="1" applyBorder="1" applyAlignment="1" applyProtection="1">
      <alignment horizontal="right" vertical="center" wrapText="1"/>
    </xf>
    <xf numFmtId="0" fontId="3" fillId="0" borderId="3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center" vertical="center"/>
    </xf>
    <xf numFmtId="165" fontId="3" fillId="0" borderId="35" xfId="0" applyNumberFormat="1" applyFont="1" applyFill="1" applyBorder="1" applyAlignment="1" applyProtection="1">
      <alignment horizontal="right" vertical="center" wrapText="1"/>
    </xf>
    <xf numFmtId="165" fontId="3" fillId="0" borderId="35" xfId="0" applyNumberFormat="1" applyFont="1" applyFill="1" applyBorder="1" applyAlignment="1" applyProtection="1">
      <alignment horizontal="right" vertical="center"/>
    </xf>
    <xf numFmtId="0" fontId="1" fillId="0" borderId="36" xfId="0" applyFont="1" applyBorder="1" applyAlignment="1">
      <alignment horizontal="center" vertical="center"/>
    </xf>
    <xf numFmtId="165" fontId="1" fillId="0" borderId="35" xfId="0" applyNumberFormat="1" applyFont="1" applyFill="1" applyBorder="1" applyAlignment="1" applyProtection="1">
      <alignment horizontal="right" vertical="center" wrapText="1"/>
    </xf>
    <xf numFmtId="0" fontId="3" fillId="0" borderId="25" xfId="0" applyFont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right" vertical="center" wrapText="1"/>
    </xf>
    <xf numFmtId="165" fontId="3" fillId="0" borderId="35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165" fontId="3" fillId="0" borderId="35" xfId="0" applyNumberFormat="1" applyFont="1" applyBorder="1" applyAlignment="1">
      <alignment horizontal="right" vertical="center" wrapText="1"/>
    </xf>
    <xf numFmtId="165" fontId="3" fillId="0" borderId="35" xfId="0" applyNumberFormat="1" applyFont="1" applyBorder="1" applyAlignment="1">
      <alignment horizontal="right" vertical="center"/>
    </xf>
    <xf numFmtId="165" fontId="1" fillId="0" borderId="35" xfId="0" applyNumberFormat="1" applyFont="1" applyFill="1" applyBorder="1" applyAlignment="1">
      <alignment horizontal="right" vertical="center" wrapText="1"/>
    </xf>
    <xf numFmtId="0" fontId="0" fillId="0" borderId="3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left" vertical="center" wrapText="1"/>
    </xf>
    <xf numFmtId="165" fontId="4" fillId="5" borderId="35" xfId="0" applyNumberFormat="1" applyFont="1" applyFill="1" applyBorder="1" applyAlignment="1" applyProtection="1">
      <alignment horizontal="right" vertical="center"/>
    </xf>
    <xf numFmtId="0" fontId="8" fillId="0" borderId="35" xfId="0" applyFont="1" applyBorder="1" applyAlignment="1">
      <alignment horizontal="center" vertical="center" wrapText="1"/>
    </xf>
    <xf numFmtId="167" fontId="8" fillId="0" borderId="35" xfId="0" applyNumberFormat="1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right" vertical="center" shrinkToFit="1"/>
    </xf>
    <xf numFmtId="165" fontId="8" fillId="0" borderId="35" xfId="0" applyNumberFormat="1" applyFont="1" applyBorder="1" applyAlignment="1" applyProtection="1">
      <alignment horizontal="right" vertical="center" wrapText="1"/>
    </xf>
    <xf numFmtId="165" fontId="8" fillId="0" borderId="35" xfId="0" applyNumberFormat="1" applyFont="1" applyBorder="1" applyAlignment="1" applyProtection="1">
      <alignment horizontal="right" vertical="center"/>
    </xf>
    <xf numFmtId="2" fontId="10" fillId="0" borderId="35" xfId="0" applyNumberFormat="1" applyFont="1" applyBorder="1" applyAlignment="1">
      <alignment horizontal="right" vertical="center" shrinkToFit="1"/>
    </xf>
    <xf numFmtId="0" fontId="9" fillId="0" borderId="35" xfId="0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right" vertical="center" shrinkToFit="1"/>
    </xf>
  </cellXfs>
  <cellStyles count="6">
    <cellStyle name="Normal" xfId="0" builtinId="0"/>
    <cellStyle name="Normal 2" xfId="1"/>
    <cellStyle name="Normal 3" xfId="2"/>
    <cellStyle name="Porcentagem" xfId="3" builtinId="5"/>
    <cellStyle name="Vírgula" xfId="4" builtinId="3"/>
    <cellStyle name="Vírgula 2" xfId="5"/>
  </cellStyles>
  <dxfs count="2">
    <dxf>
      <font>
        <b val="0"/>
        <condense val="0"/>
        <extend val="0"/>
        <sz val="11"/>
        <color indexed="8"/>
      </font>
      <fill>
        <patternFill patternType="solid">
          <fgColor indexed="42"/>
          <bgColor indexed="3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D7"/>
      <rgbColor rgb="00F2F2F2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CE4E5"/>
      <rgbColor rgb="00DEE7E5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38100</xdr:rowOff>
    </xdr:from>
    <xdr:to>
      <xdr:col>1</xdr:col>
      <xdr:colOff>542925</xdr:colOff>
      <xdr:row>3</xdr:row>
      <xdr:rowOff>247650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2F90F1AD-8BE8-2AAD-B1F0-BB39F395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8096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76200</xdr:rowOff>
    </xdr:from>
    <xdr:to>
      <xdr:col>1</xdr:col>
      <xdr:colOff>1200150</xdr:colOff>
      <xdr:row>2</xdr:row>
      <xdr:rowOff>495300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B91659FA-FA81-EC6E-3C9B-7EE758ED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6200"/>
          <a:ext cx="1019175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76200</xdr:rowOff>
    </xdr:from>
    <xdr:to>
      <xdr:col>1</xdr:col>
      <xdr:colOff>1200150</xdr:colOff>
      <xdr:row>2</xdr:row>
      <xdr:rowOff>495300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FF597E37-005C-056F-95F2-1BA8AB68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6200"/>
          <a:ext cx="1019175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123825</xdr:rowOff>
    </xdr:from>
    <xdr:to>
      <xdr:col>1</xdr:col>
      <xdr:colOff>485775</xdr:colOff>
      <xdr:row>2</xdr:row>
      <xdr:rowOff>609600</xdr:rowOff>
    </xdr:to>
    <xdr:pic>
      <xdr:nvPicPr>
        <xdr:cNvPr id="4099" name="Picture 1">
          <a:extLst>
            <a:ext uri="{FF2B5EF4-FFF2-40B4-BE49-F238E27FC236}">
              <a16:creationId xmlns:a16="http://schemas.microsoft.com/office/drawing/2014/main" id="{5ED4891A-4E0E-61D0-B57F-CACEC93D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904875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tos\OR&#199;AMENTOS%202023\1-%20AVENIDA%20MARGINAIS\LICITA&#199;&#195;O%2007.23\2-%20Or&#231;amento%20Planilha%20M&#250;ltipla%20-%20Sele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tos\OR&#199;AMENTOS%202023\1-%20AVENIDA%20MARGINAIS\LICITA&#199;&#195;O%2007.23\Or&#231;amento%20-%20M&#250;ltip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536"/>
  <sheetViews>
    <sheetView zoomScale="74" zoomScaleNormal="74" workbookViewId="0">
      <selection sqref="A1:B4"/>
    </sheetView>
  </sheetViews>
  <sheetFormatPr defaultColWidth="7.875" defaultRowHeight="14.65" customHeight="1"/>
  <cols>
    <col min="1" max="1" width="7.125" style="1" customWidth="1"/>
    <col min="2" max="2" width="10.5" style="2" customWidth="1"/>
    <col min="3" max="3" width="10.125" style="2" customWidth="1"/>
    <col min="4" max="4" width="61.5" style="3" customWidth="1"/>
    <col min="5" max="5" width="8.625" style="2" customWidth="1"/>
    <col min="6" max="6" width="11.875" style="4" customWidth="1"/>
    <col min="7" max="7" width="11.875" style="5" customWidth="1"/>
    <col min="8" max="8" width="13.875" style="6" customWidth="1"/>
    <col min="9" max="9" width="18.375" style="7" bestFit="1" customWidth="1"/>
    <col min="10" max="10" width="2.25" style="8" hidden="1" customWidth="1"/>
    <col min="11" max="11" width="46.875" style="9" hidden="1" customWidth="1"/>
    <col min="12" max="12" width="2.5" style="1" hidden="1" customWidth="1"/>
    <col min="13" max="14" width="12.375" style="1" hidden="1" customWidth="1"/>
    <col min="15" max="15" width="7.375" style="1" customWidth="1"/>
    <col min="16" max="16" width="11.375" style="1" hidden="1" customWidth="1"/>
    <col min="17" max="64" width="7.375" style="1" customWidth="1"/>
    <col min="65" max="253" width="7" customWidth="1"/>
  </cols>
  <sheetData>
    <row r="1" spans="1:14" ht="14.85" customHeight="1">
      <c r="A1" s="146"/>
      <c r="B1" s="146"/>
      <c r="C1" s="147" t="s">
        <v>0</v>
      </c>
      <c r="D1" s="147"/>
      <c r="E1" s="147"/>
      <c r="F1" s="147"/>
      <c r="G1" s="147"/>
      <c r="H1" s="147"/>
      <c r="I1" s="147"/>
      <c r="J1" s="10"/>
      <c r="M1" s="11"/>
      <c r="N1" s="11"/>
    </row>
    <row r="2" spans="1:14" ht="14.85" customHeight="1">
      <c r="A2" s="146"/>
      <c r="B2" s="146"/>
      <c r="C2" s="148" t="s">
        <v>1</v>
      </c>
      <c r="D2" s="148"/>
      <c r="E2" s="148"/>
      <c r="F2" s="148"/>
      <c r="G2" s="148"/>
      <c r="H2" s="148"/>
      <c r="I2" s="148"/>
      <c r="J2" s="10"/>
      <c r="M2" s="11"/>
      <c r="N2" s="11"/>
    </row>
    <row r="3" spans="1:14" ht="14.85" customHeight="1">
      <c r="A3" s="146"/>
      <c r="B3" s="146"/>
      <c r="C3" s="149" t="s">
        <v>2</v>
      </c>
      <c r="D3" s="149"/>
      <c r="E3" s="149"/>
      <c r="F3" s="149"/>
      <c r="G3" s="149"/>
      <c r="H3" s="149"/>
      <c r="I3" s="149"/>
      <c r="J3" s="12"/>
      <c r="M3" s="11"/>
      <c r="N3" s="11"/>
    </row>
    <row r="4" spans="1:14" ht="42" customHeight="1">
      <c r="A4" s="146"/>
      <c r="B4" s="146"/>
      <c r="C4" s="150" t="s">
        <v>3</v>
      </c>
      <c r="D4" s="150"/>
      <c r="E4" s="151" t="s">
        <v>4</v>
      </c>
      <c r="F4" s="151"/>
      <c r="G4" s="151"/>
      <c r="H4" s="152" t="s">
        <v>5</v>
      </c>
      <c r="I4" s="152"/>
      <c r="J4" s="13"/>
      <c r="K4" s="137" t="s">
        <v>6</v>
      </c>
      <c r="M4" s="138" t="s">
        <v>7</v>
      </c>
      <c r="N4" s="138"/>
    </row>
    <row r="5" spans="1:14" ht="14.65" customHeight="1">
      <c r="A5" s="139"/>
      <c r="B5" s="139"/>
      <c r="C5" s="139"/>
      <c r="D5" s="139"/>
      <c r="E5" s="139"/>
      <c r="F5" s="139"/>
      <c r="G5" s="139"/>
      <c r="H5" s="139"/>
      <c r="I5" s="139"/>
      <c r="J5" s="14"/>
      <c r="K5" s="137"/>
      <c r="M5" s="138"/>
      <c r="N5" s="138"/>
    </row>
    <row r="6" spans="1:14" ht="38.1" customHeight="1">
      <c r="A6" s="140" t="s">
        <v>8</v>
      </c>
      <c r="B6" s="141" t="s">
        <v>9</v>
      </c>
      <c r="C6" s="142" t="s">
        <v>10</v>
      </c>
      <c r="D6" s="143" t="s">
        <v>11</v>
      </c>
      <c r="E6" s="142" t="s">
        <v>12</v>
      </c>
      <c r="F6" s="144" t="s">
        <v>13</v>
      </c>
      <c r="G6" s="145" t="s">
        <v>14</v>
      </c>
      <c r="H6" s="15" t="s">
        <v>15</v>
      </c>
      <c r="I6" s="16" t="s">
        <v>16</v>
      </c>
      <c r="J6" s="17"/>
      <c r="K6" s="137"/>
      <c r="M6" s="138"/>
      <c r="N6" s="138"/>
    </row>
    <row r="7" spans="1:14" ht="14.65" customHeight="1">
      <c r="A7" s="140"/>
      <c r="B7" s="141"/>
      <c r="C7" s="142"/>
      <c r="D7" s="143"/>
      <c r="E7" s="142"/>
      <c r="F7" s="144"/>
      <c r="G7" s="145"/>
      <c r="H7" s="18">
        <v>0.24229999999999999</v>
      </c>
      <c r="I7" s="19">
        <f>H217</f>
        <v>28022446.190000001</v>
      </c>
      <c r="J7" s="17"/>
      <c r="K7" s="137"/>
      <c r="M7" s="138"/>
      <c r="N7" s="138"/>
    </row>
    <row r="8" spans="1:14" ht="14.65" customHeight="1">
      <c r="A8" s="136"/>
      <c r="B8" s="136"/>
      <c r="C8" s="136"/>
      <c r="D8" s="136"/>
      <c r="E8" s="136"/>
      <c r="F8" s="136"/>
      <c r="G8" s="136"/>
      <c r="H8" s="136"/>
      <c r="I8" s="136"/>
      <c r="J8" s="20"/>
      <c r="M8" s="11"/>
      <c r="N8" s="11"/>
    </row>
    <row r="9" spans="1:14" ht="21.75" customHeight="1">
      <c r="A9" s="176" t="s">
        <v>17</v>
      </c>
      <c r="B9" s="177" t="s">
        <v>18</v>
      </c>
      <c r="C9" s="177"/>
      <c r="D9" s="177"/>
      <c r="E9" s="177"/>
      <c r="F9" s="177"/>
      <c r="G9" s="177"/>
      <c r="H9" s="177"/>
      <c r="I9" s="178">
        <f>SUM(I10:I28)</f>
        <v>3788911.46</v>
      </c>
      <c r="J9" s="10"/>
      <c r="M9" s="21">
        <f>I9</f>
        <v>3788911.46</v>
      </c>
      <c r="N9" s="22"/>
    </row>
    <row r="10" spans="1:14" ht="24" customHeight="1">
      <c r="A10" s="179" t="s">
        <v>19</v>
      </c>
      <c r="B10" s="180" t="s">
        <v>20</v>
      </c>
      <c r="C10" s="180" t="s">
        <v>21</v>
      </c>
      <c r="D10" s="181" t="s">
        <v>22</v>
      </c>
      <c r="E10" s="182" t="s">
        <v>23</v>
      </c>
      <c r="F10" s="183">
        <v>56</v>
      </c>
      <c r="G10" s="184">
        <v>403.45</v>
      </c>
      <c r="H10" s="185">
        <f t="shared" ref="H10:H28" si="0">ROUND(G10*1.2423,2)</f>
        <v>501.21</v>
      </c>
      <c r="I10" s="186">
        <f t="shared" ref="I10:I28" si="1">ROUND(H10*F10,2)</f>
        <v>28067.759999999998</v>
      </c>
      <c r="J10" s="23"/>
      <c r="K10" s="24"/>
      <c r="M10" s="25"/>
      <c r="N10" s="26">
        <f t="shared" ref="N10:N28" si="2">ROUND(F10*H10,2)</f>
        <v>28067.759999999998</v>
      </c>
    </row>
    <row r="11" spans="1:14" ht="63" customHeight="1">
      <c r="A11" s="187" t="s">
        <v>24</v>
      </c>
      <c r="B11" s="188" t="s">
        <v>25</v>
      </c>
      <c r="C11" s="188" t="s">
        <v>26</v>
      </c>
      <c r="D11" s="189" t="s">
        <v>27</v>
      </c>
      <c r="E11" s="188" t="s">
        <v>28</v>
      </c>
      <c r="F11" s="183">
        <v>12</v>
      </c>
      <c r="G11" s="190">
        <v>1016.19</v>
      </c>
      <c r="H11" s="185">
        <f t="shared" si="0"/>
        <v>1262.4100000000001</v>
      </c>
      <c r="I11" s="186">
        <f t="shared" si="1"/>
        <v>15148.92</v>
      </c>
      <c r="J11" s="23"/>
      <c r="K11" s="27"/>
      <c r="M11" s="25"/>
      <c r="N11" s="26">
        <f t="shared" si="2"/>
        <v>15148.92</v>
      </c>
    </row>
    <row r="12" spans="1:14" ht="56.25" customHeight="1">
      <c r="A12" s="187" t="s">
        <v>29</v>
      </c>
      <c r="B12" s="180" t="s">
        <v>30</v>
      </c>
      <c r="C12" s="191" t="s">
        <v>31</v>
      </c>
      <c r="D12" s="189" t="s">
        <v>32</v>
      </c>
      <c r="E12" s="182" t="s">
        <v>23</v>
      </c>
      <c r="F12" s="183">
        <v>20</v>
      </c>
      <c r="G12" s="190">
        <v>653.44000000000005</v>
      </c>
      <c r="H12" s="185">
        <f t="shared" si="0"/>
        <v>811.77</v>
      </c>
      <c r="I12" s="186">
        <f t="shared" si="1"/>
        <v>16235.4</v>
      </c>
      <c r="J12" s="23"/>
      <c r="K12" s="27"/>
      <c r="M12" s="25"/>
      <c r="N12" s="26">
        <f t="shared" si="2"/>
        <v>16235.4</v>
      </c>
    </row>
    <row r="13" spans="1:14" ht="51" customHeight="1">
      <c r="A13" s="187" t="s">
        <v>33</v>
      </c>
      <c r="B13" s="188" t="s">
        <v>25</v>
      </c>
      <c r="C13" s="188" t="s">
        <v>34</v>
      </c>
      <c r="D13" s="189" t="s">
        <v>35</v>
      </c>
      <c r="E13" s="188" t="s">
        <v>28</v>
      </c>
      <c r="F13" s="183">
        <v>12</v>
      </c>
      <c r="G13" s="190">
        <v>699.21</v>
      </c>
      <c r="H13" s="185">
        <f t="shared" si="0"/>
        <v>868.63</v>
      </c>
      <c r="I13" s="186">
        <f t="shared" si="1"/>
        <v>10423.56</v>
      </c>
      <c r="J13" s="23"/>
      <c r="K13" s="27"/>
      <c r="M13" s="25"/>
      <c r="N13" s="26">
        <f t="shared" si="2"/>
        <v>10423.56</v>
      </c>
    </row>
    <row r="14" spans="1:14" ht="33.75" customHeight="1">
      <c r="A14" s="187" t="s">
        <v>36</v>
      </c>
      <c r="B14" s="188" t="s">
        <v>37</v>
      </c>
      <c r="C14" s="188" t="s">
        <v>38</v>
      </c>
      <c r="D14" s="189" t="s">
        <v>39</v>
      </c>
      <c r="E14" s="188" t="s">
        <v>40</v>
      </c>
      <c r="F14" s="183">
        <v>84</v>
      </c>
      <c r="G14" s="190">
        <v>1025.8499999999999</v>
      </c>
      <c r="H14" s="185">
        <f t="shared" si="0"/>
        <v>1274.4100000000001</v>
      </c>
      <c r="I14" s="186">
        <f t="shared" si="1"/>
        <v>107050.44</v>
      </c>
      <c r="J14" s="23"/>
      <c r="K14" s="27"/>
      <c r="M14" s="25"/>
      <c r="N14" s="26">
        <f t="shared" si="2"/>
        <v>107050.44</v>
      </c>
    </row>
    <row r="15" spans="1:14" ht="58.5" customHeight="1">
      <c r="A15" s="187" t="s">
        <v>41</v>
      </c>
      <c r="B15" s="188" t="s">
        <v>30</v>
      </c>
      <c r="C15" s="188" t="s">
        <v>42</v>
      </c>
      <c r="D15" s="189" t="s">
        <v>43</v>
      </c>
      <c r="E15" s="188" t="s">
        <v>44</v>
      </c>
      <c r="F15" s="183">
        <v>7</v>
      </c>
      <c r="G15" s="190">
        <v>1875.05</v>
      </c>
      <c r="H15" s="185">
        <f t="shared" si="0"/>
        <v>2329.37</v>
      </c>
      <c r="I15" s="186">
        <f t="shared" si="1"/>
        <v>16305.59</v>
      </c>
      <c r="J15" s="23"/>
      <c r="K15" s="27"/>
      <c r="M15" s="25"/>
      <c r="N15" s="26">
        <f t="shared" si="2"/>
        <v>16305.59</v>
      </c>
    </row>
    <row r="16" spans="1:14" ht="27" customHeight="1">
      <c r="A16" s="187" t="s">
        <v>45</v>
      </c>
      <c r="B16" s="188" t="s">
        <v>20</v>
      </c>
      <c r="C16" s="188" t="s">
        <v>46</v>
      </c>
      <c r="D16" s="189" t="s">
        <v>47</v>
      </c>
      <c r="E16" s="188" t="s">
        <v>44</v>
      </c>
      <c r="F16" s="183">
        <v>7</v>
      </c>
      <c r="G16" s="190">
        <v>1262.5899999999999</v>
      </c>
      <c r="H16" s="185">
        <f t="shared" si="0"/>
        <v>1568.52</v>
      </c>
      <c r="I16" s="186">
        <f t="shared" si="1"/>
        <v>10979.64</v>
      </c>
      <c r="J16" s="23"/>
      <c r="K16" s="27"/>
      <c r="M16" s="25"/>
      <c r="N16" s="26">
        <f t="shared" si="2"/>
        <v>10979.64</v>
      </c>
    </row>
    <row r="17" spans="1:16" ht="63" customHeight="1">
      <c r="A17" s="187" t="s">
        <v>48</v>
      </c>
      <c r="B17" s="188" t="s">
        <v>30</v>
      </c>
      <c r="C17" s="188" t="s">
        <v>49</v>
      </c>
      <c r="D17" s="189" t="s">
        <v>50</v>
      </c>
      <c r="E17" s="188" t="s">
        <v>51</v>
      </c>
      <c r="F17" s="183">
        <v>432</v>
      </c>
      <c r="G17" s="190">
        <v>283.42</v>
      </c>
      <c r="H17" s="185">
        <f t="shared" si="0"/>
        <v>352.09</v>
      </c>
      <c r="I17" s="186">
        <f t="shared" si="1"/>
        <v>152102.88</v>
      </c>
      <c r="J17" s="23"/>
      <c r="K17" s="27"/>
      <c r="M17" s="25"/>
      <c r="N17" s="26">
        <f t="shared" si="2"/>
        <v>152102.88</v>
      </c>
    </row>
    <row r="18" spans="1:16" ht="54" customHeight="1">
      <c r="A18" s="187" t="s">
        <v>52</v>
      </c>
      <c r="B18" s="188" t="s">
        <v>30</v>
      </c>
      <c r="C18" s="188" t="s">
        <v>53</v>
      </c>
      <c r="D18" s="189" t="s">
        <v>54</v>
      </c>
      <c r="E18" s="188" t="s">
        <v>44</v>
      </c>
      <c r="F18" s="183">
        <v>1</v>
      </c>
      <c r="G18" s="190">
        <v>264.67</v>
      </c>
      <c r="H18" s="185">
        <f t="shared" si="0"/>
        <v>328.8</v>
      </c>
      <c r="I18" s="186">
        <f t="shared" si="1"/>
        <v>328.8</v>
      </c>
      <c r="J18" s="23"/>
      <c r="K18" s="27"/>
      <c r="M18" s="25"/>
      <c r="N18" s="26">
        <f t="shared" si="2"/>
        <v>328.8</v>
      </c>
    </row>
    <row r="19" spans="1:16" ht="38.25" customHeight="1">
      <c r="A19" s="187" t="s">
        <v>55</v>
      </c>
      <c r="B19" s="188" t="s">
        <v>30</v>
      </c>
      <c r="C19" s="188" t="s">
        <v>56</v>
      </c>
      <c r="D19" s="189" t="s">
        <v>57</v>
      </c>
      <c r="E19" s="188" t="s">
        <v>44</v>
      </c>
      <c r="F19" s="183">
        <v>1</v>
      </c>
      <c r="G19" s="190">
        <v>156.11000000000001</v>
      </c>
      <c r="H19" s="185">
        <f t="shared" si="0"/>
        <v>193.94</v>
      </c>
      <c r="I19" s="186">
        <f t="shared" si="1"/>
        <v>193.94</v>
      </c>
      <c r="J19" s="23"/>
      <c r="K19" s="27"/>
      <c r="M19" s="25"/>
      <c r="N19" s="26">
        <f t="shared" si="2"/>
        <v>193.94</v>
      </c>
    </row>
    <row r="20" spans="1:16" ht="39" customHeight="1">
      <c r="A20" s="187" t="s">
        <v>58</v>
      </c>
      <c r="B20" s="180" t="s">
        <v>37</v>
      </c>
      <c r="C20" s="191" t="s">
        <v>59</v>
      </c>
      <c r="D20" s="189" t="s">
        <v>60</v>
      </c>
      <c r="E20" s="182" t="s">
        <v>61</v>
      </c>
      <c r="F20" s="183">
        <v>12</v>
      </c>
      <c r="G20" s="190">
        <v>31.38</v>
      </c>
      <c r="H20" s="185">
        <f t="shared" si="0"/>
        <v>38.979999999999997</v>
      </c>
      <c r="I20" s="186">
        <f t="shared" si="1"/>
        <v>467.76</v>
      </c>
      <c r="J20" s="23"/>
      <c r="K20" s="27"/>
      <c r="M20" s="25"/>
      <c r="N20" s="26">
        <f t="shared" si="2"/>
        <v>467.76</v>
      </c>
    </row>
    <row r="21" spans="1:16" ht="36.75" customHeight="1">
      <c r="A21" s="187" t="s">
        <v>62</v>
      </c>
      <c r="B21" s="180" t="s">
        <v>37</v>
      </c>
      <c r="C21" s="191" t="s">
        <v>63</v>
      </c>
      <c r="D21" s="189" t="s">
        <v>64</v>
      </c>
      <c r="E21" s="182" t="s">
        <v>61</v>
      </c>
      <c r="F21" s="183">
        <v>12</v>
      </c>
      <c r="G21" s="190">
        <v>54.29</v>
      </c>
      <c r="H21" s="185">
        <f t="shared" si="0"/>
        <v>67.44</v>
      </c>
      <c r="I21" s="186">
        <f t="shared" si="1"/>
        <v>809.28</v>
      </c>
      <c r="J21" s="23"/>
      <c r="K21" s="27"/>
      <c r="M21" s="25"/>
      <c r="N21" s="26">
        <f t="shared" si="2"/>
        <v>809.28</v>
      </c>
    </row>
    <row r="22" spans="1:16" ht="60" customHeight="1">
      <c r="A22" s="187" t="s">
        <v>65</v>
      </c>
      <c r="B22" s="192" t="s">
        <v>30</v>
      </c>
      <c r="C22" s="192" t="s">
        <v>66</v>
      </c>
      <c r="D22" s="193" t="s">
        <v>67</v>
      </c>
      <c r="E22" s="192" t="s">
        <v>44</v>
      </c>
      <c r="F22" s="194">
        <v>1</v>
      </c>
      <c r="G22" s="190">
        <v>581.77</v>
      </c>
      <c r="H22" s="185">
        <f t="shared" si="0"/>
        <v>722.73</v>
      </c>
      <c r="I22" s="186">
        <f t="shared" si="1"/>
        <v>722.73</v>
      </c>
      <c r="J22" s="23"/>
      <c r="K22" s="27"/>
      <c r="M22" s="25"/>
      <c r="N22" s="26">
        <f t="shared" si="2"/>
        <v>722.73</v>
      </c>
    </row>
    <row r="23" spans="1:16" ht="35.25" customHeight="1">
      <c r="A23" s="187" t="s">
        <v>68</v>
      </c>
      <c r="B23" s="192" t="s">
        <v>37</v>
      </c>
      <c r="C23" s="192" t="s">
        <v>69</v>
      </c>
      <c r="D23" s="193" t="s">
        <v>70</v>
      </c>
      <c r="E23" s="192" t="s">
        <v>71</v>
      </c>
      <c r="F23" s="194">
        <v>8</v>
      </c>
      <c r="G23" s="190">
        <v>1249.33</v>
      </c>
      <c r="H23" s="185">
        <f t="shared" si="0"/>
        <v>1552.04</v>
      </c>
      <c r="I23" s="186">
        <f t="shared" si="1"/>
        <v>12416.32</v>
      </c>
      <c r="J23" s="23"/>
      <c r="K23" s="27"/>
      <c r="M23" s="25"/>
      <c r="N23" s="26">
        <f t="shared" si="2"/>
        <v>12416.32</v>
      </c>
    </row>
    <row r="24" spans="1:16" ht="36.75" customHeight="1">
      <c r="A24" s="187" t="s">
        <v>72</v>
      </c>
      <c r="B24" s="192" t="s">
        <v>37</v>
      </c>
      <c r="C24" s="192" t="s">
        <v>73</v>
      </c>
      <c r="D24" s="193" t="s">
        <v>74</v>
      </c>
      <c r="E24" s="192" t="s">
        <v>71</v>
      </c>
      <c r="F24" s="194">
        <v>8</v>
      </c>
      <c r="G24" s="190">
        <v>6440.38</v>
      </c>
      <c r="H24" s="185">
        <f t="shared" si="0"/>
        <v>8000.88</v>
      </c>
      <c r="I24" s="186">
        <f t="shared" si="1"/>
        <v>64007.040000000001</v>
      </c>
      <c r="J24" s="23"/>
      <c r="K24" s="27"/>
      <c r="M24" s="25"/>
      <c r="N24" s="26">
        <f t="shared" si="2"/>
        <v>64007.040000000001</v>
      </c>
    </row>
    <row r="25" spans="1:16" ht="25.5" customHeight="1">
      <c r="A25" s="187" t="s">
        <v>75</v>
      </c>
      <c r="B25" s="192" t="s">
        <v>37</v>
      </c>
      <c r="C25" s="192" t="s">
        <v>76</v>
      </c>
      <c r="D25" s="193" t="s">
        <v>77</v>
      </c>
      <c r="E25" s="192" t="s">
        <v>61</v>
      </c>
      <c r="F25" s="194">
        <v>840</v>
      </c>
      <c r="G25" s="190">
        <v>94.11</v>
      </c>
      <c r="H25" s="185">
        <f t="shared" si="0"/>
        <v>116.91</v>
      </c>
      <c r="I25" s="186">
        <f t="shared" si="1"/>
        <v>98204.4</v>
      </c>
      <c r="J25" s="23"/>
      <c r="K25" s="27"/>
      <c r="M25" s="25"/>
      <c r="N25" s="26">
        <f t="shared" si="2"/>
        <v>98204.4</v>
      </c>
    </row>
    <row r="26" spans="1:16" ht="25.5" customHeight="1">
      <c r="A26" s="187" t="s">
        <v>78</v>
      </c>
      <c r="B26" s="192" t="s">
        <v>37</v>
      </c>
      <c r="C26" s="192" t="s">
        <v>79</v>
      </c>
      <c r="D26" s="193" t="s">
        <v>80</v>
      </c>
      <c r="E26" s="192" t="s">
        <v>61</v>
      </c>
      <c r="F26" s="194">
        <v>300</v>
      </c>
      <c r="G26" s="190">
        <v>377.02</v>
      </c>
      <c r="H26" s="185">
        <f t="shared" si="0"/>
        <v>468.37</v>
      </c>
      <c r="I26" s="186">
        <f t="shared" si="1"/>
        <v>140511</v>
      </c>
      <c r="J26" s="23"/>
      <c r="K26" s="27"/>
      <c r="M26" s="25"/>
      <c r="N26" s="26">
        <f t="shared" si="2"/>
        <v>140511</v>
      </c>
    </row>
    <row r="27" spans="1:16" ht="59.25" customHeight="1">
      <c r="A27" s="187" t="s">
        <v>81</v>
      </c>
      <c r="B27" s="192" t="s">
        <v>30</v>
      </c>
      <c r="C27" s="192" t="s">
        <v>82</v>
      </c>
      <c r="D27" s="193" t="s">
        <v>83</v>
      </c>
      <c r="E27" s="192" t="s">
        <v>51</v>
      </c>
      <c r="F27" s="194">
        <v>5280</v>
      </c>
      <c r="G27" s="190">
        <v>231.27</v>
      </c>
      <c r="H27" s="185">
        <f t="shared" si="0"/>
        <v>287.31</v>
      </c>
      <c r="I27" s="186">
        <f t="shared" si="1"/>
        <v>1516996.8</v>
      </c>
      <c r="J27" s="23"/>
      <c r="K27" s="27"/>
      <c r="M27" s="25"/>
      <c r="N27" s="26">
        <f t="shared" si="2"/>
        <v>1516996.8</v>
      </c>
    </row>
    <row r="28" spans="1:16" ht="66" customHeight="1">
      <c r="A28" s="187" t="s">
        <v>84</v>
      </c>
      <c r="B28" s="192" t="s">
        <v>30</v>
      </c>
      <c r="C28" s="192" t="s">
        <v>85</v>
      </c>
      <c r="D28" s="193" t="s">
        <v>86</v>
      </c>
      <c r="E28" s="192" t="s">
        <v>51</v>
      </c>
      <c r="F28" s="194">
        <v>5280</v>
      </c>
      <c r="G28" s="190">
        <v>243.61</v>
      </c>
      <c r="H28" s="185">
        <f t="shared" si="0"/>
        <v>302.64</v>
      </c>
      <c r="I28" s="186">
        <f t="shared" si="1"/>
        <v>1597939.2</v>
      </c>
      <c r="J28" s="23"/>
      <c r="K28" s="27"/>
      <c r="M28" s="25"/>
      <c r="N28" s="26">
        <f t="shared" si="2"/>
        <v>1597939.2</v>
      </c>
    </row>
    <row r="29" spans="1:16" ht="18" customHeight="1">
      <c r="A29" s="195"/>
      <c r="B29" s="195"/>
      <c r="C29" s="195"/>
      <c r="D29" s="195"/>
      <c r="E29" s="195"/>
      <c r="F29" s="195"/>
      <c r="G29" s="195"/>
      <c r="H29" s="195"/>
      <c r="I29" s="195"/>
      <c r="J29" s="23"/>
      <c r="K29" s="28"/>
      <c r="L29" s="29"/>
      <c r="M29" s="25"/>
      <c r="N29" s="30"/>
    </row>
    <row r="30" spans="1:16" ht="24" customHeight="1">
      <c r="A30" s="176" t="s">
        <v>87</v>
      </c>
      <c r="B30" s="177" t="s">
        <v>88</v>
      </c>
      <c r="C30" s="177"/>
      <c r="D30" s="177"/>
      <c r="E30" s="177"/>
      <c r="F30" s="177"/>
      <c r="G30" s="177"/>
      <c r="H30" s="177"/>
      <c r="I30" s="178">
        <f>SUM(I31:I38)</f>
        <v>927319.2</v>
      </c>
      <c r="J30" s="23"/>
      <c r="K30" s="31"/>
      <c r="M30" s="32">
        <f>I30</f>
        <v>927319.2</v>
      </c>
      <c r="N30" s="30"/>
    </row>
    <row r="31" spans="1:16" ht="14.25" customHeight="1">
      <c r="A31" s="179" t="s">
        <v>89</v>
      </c>
      <c r="B31" s="192" t="s">
        <v>25</v>
      </c>
      <c r="C31" s="192" t="s">
        <v>90</v>
      </c>
      <c r="D31" s="193" t="s">
        <v>91</v>
      </c>
      <c r="E31" s="192" t="s">
        <v>92</v>
      </c>
      <c r="F31" s="183">
        <v>2400</v>
      </c>
      <c r="G31" s="190">
        <v>124.93</v>
      </c>
      <c r="H31" s="196">
        <f t="shared" ref="H31:H38" si="3">ROUND(G31*1.2423,2)</f>
        <v>155.19999999999999</v>
      </c>
      <c r="I31" s="197">
        <f t="shared" ref="I31:I38" si="4">ROUND(H31*F31,2)</f>
        <v>372480</v>
      </c>
      <c r="J31" s="23"/>
      <c r="K31" s="33"/>
      <c r="M31" s="25"/>
      <c r="N31" s="26">
        <f t="shared" ref="N31:N38" si="5">ROUND(F31*H31,2)</f>
        <v>372480</v>
      </c>
      <c r="P31" s="34">
        <f>H31*200</f>
        <v>31039.999999999996</v>
      </c>
    </row>
    <row r="32" spans="1:16" ht="14.25" customHeight="1">
      <c r="A32" s="179" t="s">
        <v>93</v>
      </c>
      <c r="B32" s="192" t="s">
        <v>25</v>
      </c>
      <c r="C32" s="192" t="s">
        <v>94</v>
      </c>
      <c r="D32" s="193" t="s">
        <v>95</v>
      </c>
      <c r="E32" s="192" t="s">
        <v>92</v>
      </c>
      <c r="F32" s="183">
        <v>2400</v>
      </c>
      <c r="G32" s="190">
        <v>41.56</v>
      </c>
      <c r="H32" s="196">
        <f t="shared" si="3"/>
        <v>51.63</v>
      </c>
      <c r="I32" s="197">
        <f t="shared" si="4"/>
        <v>123912</v>
      </c>
      <c r="J32" s="23"/>
      <c r="K32" s="33"/>
      <c r="M32" s="25"/>
      <c r="N32" s="26">
        <f t="shared" si="5"/>
        <v>123912</v>
      </c>
      <c r="P32" s="34">
        <f>H32*200</f>
        <v>10326</v>
      </c>
    </row>
    <row r="33" spans="1:64" ht="18.75" customHeight="1">
      <c r="A33" s="179" t="s">
        <v>96</v>
      </c>
      <c r="B33" s="192" t="s">
        <v>25</v>
      </c>
      <c r="C33" s="192" t="s">
        <v>97</v>
      </c>
      <c r="D33" s="193" t="s">
        <v>98</v>
      </c>
      <c r="E33" s="192" t="s">
        <v>92</v>
      </c>
      <c r="F33" s="183">
        <v>576</v>
      </c>
      <c r="G33" s="190">
        <v>67.59</v>
      </c>
      <c r="H33" s="196">
        <f t="shared" si="3"/>
        <v>83.97</v>
      </c>
      <c r="I33" s="197">
        <f t="shared" si="4"/>
        <v>48366.720000000001</v>
      </c>
      <c r="J33" s="23"/>
      <c r="K33" s="33"/>
      <c r="M33" s="25"/>
      <c r="N33" s="26">
        <f t="shared" si="5"/>
        <v>48366.720000000001</v>
      </c>
      <c r="P33" s="34">
        <f>H33*48</f>
        <v>4030.56</v>
      </c>
    </row>
    <row r="34" spans="1:64" ht="17.25" customHeight="1">
      <c r="A34" s="179" t="s">
        <v>99</v>
      </c>
      <c r="B34" s="192" t="s">
        <v>25</v>
      </c>
      <c r="C34" s="192" t="s">
        <v>100</v>
      </c>
      <c r="D34" s="193" t="s">
        <v>101</v>
      </c>
      <c r="E34" s="192" t="s">
        <v>92</v>
      </c>
      <c r="F34" s="183">
        <v>576</v>
      </c>
      <c r="G34" s="190">
        <v>30.41</v>
      </c>
      <c r="H34" s="196">
        <f t="shared" si="3"/>
        <v>37.78</v>
      </c>
      <c r="I34" s="197">
        <f t="shared" si="4"/>
        <v>21761.279999999999</v>
      </c>
      <c r="J34" s="23"/>
      <c r="K34" s="33"/>
      <c r="M34" s="25"/>
      <c r="N34" s="26">
        <f t="shared" si="5"/>
        <v>21761.279999999999</v>
      </c>
      <c r="P34" s="34">
        <f>H34*48</f>
        <v>1813.44</v>
      </c>
    </row>
    <row r="35" spans="1:64" ht="16.5" customHeight="1">
      <c r="A35" s="179" t="s">
        <v>102</v>
      </c>
      <c r="B35" s="192" t="s">
        <v>25</v>
      </c>
      <c r="C35" s="192" t="s">
        <v>103</v>
      </c>
      <c r="D35" s="193" t="s">
        <v>104</v>
      </c>
      <c r="E35" s="192" t="s">
        <v>92</v>
      </c>
      <c r="F35" s="183">
        <v>2400</v>
      </c>
      <c r="G35" s="190">
        <v>37.58</v>
      </c>
      <c r="H35" s="196">
        <f t="shared" si="3"/>
        <v>46.69</v>
      </c>
      <c r="I35" s="197">
        <f t="shared" si="4"/>
        <v>112056</v>
      </c>
      <c r="J35" s="23"/>
      <c r="K35" s="33"/>
      <c r="M35" s="25"/>
      <c r="N35" s="26">
        <f t="shared" si="5"/>
        <v>112056</v>
      </c>
      <c r="P35" s="34">
        <f>H35*200</f>
        <v>9338</v>
      </c>
    </row>
    <row r="36" spans="1:64" ht="18" customHeight="1">
      <c r="A36" s="179" t="s">
        <v>105</v>
      </c>
      <c r="B36" s="192" t="s">
        <v>25</v>
      </c>
      <c r="C36" s="192" t="s">
        <v>106</v>
      </c>
      <c r="D36" s="193" t="s">
        <v>107</v>
      </c>
      <c r="E36" s="192" t="s">
        <v>92</v>
      </c>
      <c r="F36" s="194">
        <v>1440</v>
      </c>
      <c r="G36" s="190">
        <v>19.350000000000001</v>
      </c>
      <c r="H36" s="196">
        <f t="shared" si="3"/>
        <v>24.04</v>
      </c>
      <c r="I36" s="197">
        <f t="shared" si="4"/>
        <v>34617.599999999999</v>
      </c>
      <c r="J36" s="23"/>
      <c r="K36" s="35"/>
      <c r="M36" s="25"/>
      <c r="N36" s="26">
        <f t="shared" si="5"/>
        <v>34617.599999999999</v>
      </c>
      <c r="P36" s="34">
        <f>H36*120</f>
        <v>2884.7999999999997</v>
      </c>
    </row>
    <row r="37" spans="1:64" ht="43.5" customHeight="1">
      <c r="A37" s="179" t="s">
        <v>108</v>
      </c>
      <c r="B37" s="192" t="s">
        <v>25</v>
      </c>
      <c r="C37" s="192" t="s">
        <v>109</v>
      </c>
      <c r="D37" s="193" t="s">
        <v>110</v>
      </c>
      <c r="E37" s="192" t="s">
        <v>92</v>
      </c>
      <c r="F37" s="194">
        <v>4320</v>
      </c>
      <c r="G37" s="190">
        <v>26.52</v>
      </c>
      <c r="H37" s="196">
        <f t="shared" si="3"/>
        <v>32.950000000000003</v>
      </c>
      <c r="I37" s="197">
        <f t="shared" si="4"/>
        <v>142344</v>
      </c>
      <c r="J37" s="23"/>
      <c r="K37" s="36"/>
      <c r="M37" s="25"/>
      <c r="N37" s="26">
        <f t="shared" si="5"/>
        <v>142344</v>
      </c>
      <c r="P37" s="34">
        <f>H37*360</f>
        <v>11862.000000000002</v>
      </c>
    </row>
    <row r="38" spans="1:64" ht="18" customHeight="1">
      <c r="A38" s="179" t="s">
        <v>111</v>
      </c>
      <c r="B38" s="192" t="s">
        <v>112</v>
      </c>
      <c r="C38" s="192">
        <v>121100</v>
      </c>
      <c r="D38" s="193" t="s">
        <v>113</v>
      </c>
      <c r="E38" s="192" t="s">
        <v>114</v>
      </c>
      <c r="F38" s="194">
        <v>2640</v>
      </c>
      <c r="G38" s="190">
        <v>21.89</v>
      </c>
      <c r="H38" s="196">
        <f t="shared" si="3"/>
        <v>27.19</v>
      </c>
      <c r="I38" s="197">
        <f t="shared" si="4"/>
        <v>71781.600000000006</v>
      </c>
      <c r="J38" s="23"/>
      <c r="K38" s="37"/>
      <c r="M38" s="25"/>
      <c r="N38" s="26">
        <f t="shared" si="5"/>
        <v>71781.600000000006</v>
      </c>
      <c r="P38" s="34">
        <f>H38*220</f>
        <v>5981.8</v>
      </c>
    </row>
    <row r="39" spans="1:64" ht="21.75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23"/>
      <c r="K39" s="28"/>
      <c r="M39" s="25"/>
      <c r="N39" s="38"/>
    </row>
    <row r="40" spans="1:64" ht="21.75" customHeight="1">
      <c r="A40" s="176" t="s">
        <v>115</v>
      </c>
      <c r="B40" s="177" t="s">
        <v>116</v>
      </c>
      <c r="C40" s="177"/>
      <c r="D40" s="177"/>
      <c r="E40" s="177"/>
      <c r="F40" s="177"/>
      <c r="G40" s="177"/>
      <c r="H40" s="177"/>
      <c r="I40" s="178">
        <f>SUM(I41:I43)</f>
        <v>68394.2</v>
      </c>
      <c r="J40" s="23"/>
      <c r="K40" s="39"/>
      <c r="M40" s="32">
        <f>I40</f>
        <v>68394.2</v>
      </c>
      <c r="N40" s="30"/>
    </row>
    <row r="41" spans="1:64" ht="32.25" customHeight="1">
      <c r="A41" s="188" t="s">
        <v>117</v>
      </c>
      <c r="B41" s="188" t="s">
        <v>118</v>
      </c>
      <c r="C41" s="188" t="s">
        <v>119</v>
      </c>
      <c r="D41" s="189" t="s">
        <v>120</v>
      </c>
      <c r="E41" s="188" t="s">
        <v>121</v>
      </c>
      <c r="F41" s="183">
        <v>23</v>
      </c>
      <c r="G41" s="190">
        <f>Composições!G32</f>
        <v>261.61099999999999</v>
      </c>
      <c r="H41" s="185">
        <f>ROUND(G41*1.2423,2)</f>
        <v>325</v>
      </c>
      <c r="I41" s="186">
        <f>ROUND(H41*F41,2)</f>
        <v>7475</v>
      </c>
      <c r="J41" s="23"/>
      <c r="K41" s="24"/>
      <c r="L41" s="40"/>
      <c r="M41" s="41"/>
      <c r="N41" s="26">
        <f>ROUND(F41*H41,2)</f>
        <v>7475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ht="29.25" customHeight="1">
      <c r="A42" s="188" t="s">
        <v>122</v>
      </c>
      <c r="B42" s="188" t="s">
        <v>20</v>
      </c>
      <c r="C42" s="188" t="s">
        <v>123</v>
      </c>
      <c r="D42" s="189" t="s">
        <v>124</v>
      </c>
      <c r="E42" s="188" t="s">
        <v>44</v>
      </c>
      <c r="F42" s="183">
        <v>12</v>
      </c>
      <c r="G42" s="190">
        <v>1686.28</v>
      </c>
      <c r="H42" s="185">
        <f>ROUND(G42*1.2423,2)</f>
        <v>2094.87</v>
      </c>
      <c r="I42" s="186">
        <f>ROUND(H42*F42,2)</f>
        <v>25138.44</v>
      </c>
      <c r="J42" s="23"/>
      <c r="K42" s="27"/>
      <c r="M42" s="25"/>
      <c r="N42" s="26">
        <f>ROUND(F42*H42,2)</f>
        <v>25138.44</v>
      </c>
    </row>
    <row r="43" spans="1:64" ht="25.5" customHeight="1">
      <c r="A43" s="188" t="s">
        <v>125</v>
      </c>
      <c r="B43" s="188" t="s">
        <v>37</v>
      </c>
      <c r="C43" s="188" t="s">
        <v>126</v>
      </c>
      <c r="D43" s="189" t="s">
        <v>127</v>
      </c>
      <c r="E43" s="188" t="s">
        <v>44</v>
      </c>
      <c r="F43" s="183">
        <v>12</v>
      </c>
      <c r="G43" s="190">
        <v>2400.17</v>
      </c>
      <c r="H43" s="185">
        <f>ROUND(G43*1.2423,2)</f>
        <v>2981.73</v>
      </c>
      <c r="I43" s="186">
        <f>ROUND(H43*F43,2)</f>
        <v>35780.76</v>
      </c>
      <c r="J43" s="23"/>
      <c r="K43" s="42"/>
      <c r="L43" s="40"/>
      <c r="M43" s="41"/>
      <c r="N43" s="26">
        <f>ROUND(F43*H43,2)</f>
        <v>35780.76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ht="26.25" customHeight="1">
      <c r="A44" s="195"/>
      <c r="B44" s="195"/>
      <c r="C44" s="195"/>
      <c r="D44" s="195"/>
      <c r="E44" s="195"/>
      <c r="F44" s="195"/>
      <c r="G44" s="195"/>
      <c r="H44" s="195"/>
      <c r="I44" s="195"/>
      <c r="J44" s="23"/>
      <c r="K44" s="28"/>
      <c r="M44" s="25"/>
      <c r="N44" s="38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64" ht="26.25" customHeight="1">
      <c r="A45" s="176" t="s">
        <v>128</v>
      </c>
      <c r="B45" s="177" t="s">
        <v>129</v>
      </c>
      <c r="C45" s="177"/>
      <c r="D45" s="177"/>
      <c r="E45" s="177"/>
      <c r="F45" s="177"/>
      <c r="G45" s="177"/>
      <c r="H45" s="177"/>
      <c r="I45" s="178">
        <f>SUM(I46:I49)</f>
        <v>86200.599999999991</v>
      </c>
      <c r="J45" s="23"/>
      <c r="K45" s="42"/>
      <c r="L45" s="40"/>
      <c r="M45" s="32">
        <f>I45</f>
        <v>86200.599999999991</v>
      </c>
      <c r="N45" s="26">
        <f>ROUND(F45*H45,2)</f>
        <v>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ht="38.25" customHeight="1">
      <c r="A46" s="188" t="s">
        <v>130</v>
      </c>
      <c r="B46" s="192" t="s">
        <v>37</v>
      </c>
      <c r="C46" s="192" t="s">
        <v>131</v>
      </c>
      <c r="D46" s="193" t="s">
        <v>132</v>
      </c>
      <c r="E46" s="192" t="s">
        <v>23</v>
      </c>
      <c r="F46" s="183">
        <v>527.69000000000005</v>
      </c>
      <c r="G46" s="190">
        <v>10.9</v>
      </c>
      <c r="H46" s="185">
        <f>ROUND(G46*1.2423,2)</f>
        <v>13.54</v>
      </c>
      <c r="I46" s="197">
        <f>ROUND(H46*F46,2)</f>
        <v>7144.92</v>
      </c>
      <c r="J46" s="23"/>
      <c r="K46" s="43"/>
      <c r="L46" s="40"/>
      <c r="M46" s="41"/>
      <c r="N46" s="26">
        <f>ROUND(F46*H46,2)</f>
        <v>7144.92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</row>
    <row r="47" spans="1:64" ht="38.25" customHeight="1">
      <c r="A47" s="188" t="s">
        <v>133</v>
      </c>
      <c r="B47" s="188" t="s">
        <v>37</v>
      </c>
      <c r="C47" s="188" t="s">
        <v>134</v>
      </c>
      <c r="D47" s="189" t="s">
        <v>135</v>
      </c>
      <c r="E47" s="188" t="s">
        <v>23</v>
      </c>
      <c r="F47" s="183">
        <v>814.65</v>
      </c>
      <c r="G47" s="190">
        <v>25.38</v>
      </c>
      <c r="H47" s="185">
        <f>ROUND(G47*1.2423,2)</f>
        <v>31.53</v>
      </c>
      <c r="I47" s="186">
        <f>ROUND(H47*F47,2)</f>
        <v>25685.91</v>
      </c>
      <c r="J47" s="23"/>
      <c r="K47" s="42"/>
      <c r="L47" s="40"/>
      <c r="M47" s="41"/>
      <c r="N47" s="26">
        <f>ROUND(F47*H47,2)</f>
        <v>25685.91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64" ht="39" customHeight="1">
      <c r="A48" s="188" t="s">
        <v>136</v>
      </c>
      <c r="B48" s="188" t="s">
        <v>37</v>
      </c>
      <c r="C48" s="188" t="s">
        <v>137</v>
      </c>
      <c r="D48" s="189" t="s">
        <v>138</v>
      </c>
      <c r="E48" s="188" t="s">
        <v>139</v>
      </c>
      <c r="F48" s="183">
        <v>72</v>
      </c>
      <c r="G48" s="190">
        <v>570.29</v>
      </c>
      <c r="H48" s="185">
        <f>ROUND(G48*1.2423,2)</f>
        <v>708.47</v>
      </c>
      <c r="I48" s="186">
        <f>ROUND(H48*F48,2)</f>
        <v>51009.84</v>
      </c>
      <c r="J48" s="23"/>
      <c r="K48" s="42"/>
      <c r="L48" s="40"/>
      <c r="M48" s="41"/>
      <c r="N48" s="26">
        <f>ROUND(F48*H48,2)</f>
        <v>51009.84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64" ht="32.25" customHeight="1">
      <c r="A49" s="188" t="s">
        <v>140</v>
      </c>
      <c r="B49" s="188" t="s">
        <v>112</v>
      </c>
      <c r="C49" s="188" t="s">
        <v>141</v>
      </c>
      <c r="D49" s="189" t="s">
        <v>142</v>
      </c>
      <c r="E49" s="188" t="s">
        <v>61</v>
      </c>
      <c r="F49" s="183">
        <v>55.58</v>
      </c>
      <c r="G49" s="190">
        <v>34.18</v>
      </c>
      <c r="H49" s="185">
        <f>ROUND(G49*1.2423,2)</f>
        <v>42.46</v>
      </c>
      <c r="I49" s="186">
        <f>ROUND(H49*F49,2)</f>
        <v>2359.9299999999998</v>
      </c>
      <c r="J49" s="23"/>
      <c r="K49" s="42"/>
      <c r="L49" s="40"/>
      <c r="M49" s="41"/>
      <c r="N49" s="26">
        <f>ROUND(F49*H49,2)</f>
        <v>2359.9299999999998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64" ht="23.2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44"/>
      <c r="K50" s="45"/>
      <c r="L50" s="40"/>
      <c r="M50" s="41"/>
      <c r="N50" s="3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</row>
    <row r="51" spans="1:64" ht="17.25" customHeight="1">
      <c r="A51" s="176" t="s">
        <v>143</v>
      </c>
      <c r="B51" s="177" t="s">
        <v>144</v>
      </c>
      <c r="C51" s="177"/>
      <c r="D51" s="177"/>
      <c r="E51" s="177"/>
      <c r="F51" s="177"/>
      <c r="G51" s="177"/>
      <c r="H51" s="177"/>
      <c r="I51" s="178">
        <f>SUM(I52:I69)</f>
        <v>3790972.2899999996</v>
      </c>
      <c r="J51" s="23"/>
      <c r="K51" s="46"/>
      <c r="L51" s="47"/>
      <c r="M51" s="32">
        <f>I51</f>
        <v>3790972.2899999996</v>
      </c>
      <c r="N51" s="30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64" ht="34.5" customHeight="1">
      <c r="A52" s="191" t="s">
        <v>145</v>
      </c>
      <c r="B52" s="188" t="s">
        <v>37</v>
      </c>
      <c r="C52" s="188" t="s">
        <v>146</v>
      </c>
      <c r="D52" s="189" t="s">
        <v>147</v>
      </c>
      <c r="E52" s="188" t="s">
        <v>139</v>
      </c>
      <c r="F52" s="183">
        <v>2480</v>
      </c>
      <c r="G52" s="199">
        <v>11.18</v>
      </c>
      <c r="H52" s="185">
        <f t="shared" ref="H52:H69" si="6">ROUND(G52*1.2423,2)</f>
        <v>13.89</v>
      </c>
      <c r="I52" s="186">
        <f t="shared" ref="I52:I69" si="7">ROUND(H52*F52,2)</f>
        <v>34447.199999999997</v>
      </c>
      <c r="J52" s="23"/>
      <c r="K52" s="48"/>
      <c r="L52" s="14"/>
      <c r="M52" s="49"/>
      <c r="N52" s="26">
        <f t="shared" ref="N52:N69" si="8">ROUND(F52*H52,2)</f>
        <v>34447.199999999997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3" spans="1:64" ht="20.25" customHeight="1">
      <c r="A53" s="191" t="s">
        <v>148</v>
      </c>
      <c r="B53" s="188" t="s">
        <v>37</v>
      </c>
      <c r="C53" s="188" t="s">
        <v>149</v>
      </c>
      <c r="D53" s="189" t="s">
        <v>150</v>
      </c>
      <c r="E53" s="188" t="s">
        <v>139</v>
      </c>
      <c r="F53" s="183">
        <v>113.67</v>
      </c>
      <c r="G53" s="199">
        <v>246.86</v>
      </c>
      <c r="H53" s="185">
        <f t="shared" si="6"/>
        <v>306.67</v>
      </c>
      <c r="I53" s="186">
        <f t="shared" si="7"/>
        <v>34859.18</v>
      </c>
      <c r="J53" s="23"/>
      <c r="K53" s="48"/>
      <c r="L53" s="14"/>
      <c r="M53" s="49"/>
      <c r="N53" s="26">
        <f t="shared" si="8"/>
        <v>34859.18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</row>
    <row r="54" spans="1:64" ht="33" customHeight="1">
      <c r="A54" s="191" t="s">
        <v>151</v>
      </c>
      <c r="B54" s="188" t="s">
        <v>37</v>
      </c>
      <c r="C54" s="188" t="s">
        <v>146</v>
      </c>
      <c r="D54" s="189" t="s">
        <v>147</v>
      </c>
      <c r="E54" s="188" t="s">
        <v>139</v>
      </c>
      <c r="F54" s="183">
        <v>128</v>
      </c>
      <c r="G54" s="199">
        <v>11.18</v>
      </c>
      <c r="H54" s="185">
        <f t="shared" si="6"/>
        <v>13.89</v>
      </c>
      <c r="I54" s="186">
        <f t="shared" si="7"/>
        <v>1777.92</v>
      </c>
      <c r="J54" s="23"/>
      <c r="K54" s="48"/>
      <c r="L54" s="14"/>
      <c r="M54" s="49"/>
      <c r="N54" s="26">
        <f t="shared" si="8"/>
        <v>1777.92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21.75" customHeight="1">
      <c r="A55" s="191" t="s">
        <v>152</v>
      </c>
      <c r="B55" s="188" t="s">
        <v>37</v>
      </c>
      <c r="C55" s="188" t="s">
        <v>153</v>
      </c>
      <c r="D55" s="189" t="s">
        <v>154</v>
      </c>
      <c r="E55" s="188" t="s">
        <v>23</v>
      </c>
      <c r="F55" s="183">
        <v>1679.57</v>
      </c>
      <c r="G55" s="199">
        <v>22.44</v>
      </c>
      <c r="H55" s="185">
        <f t="shared" si="6"/>
        <v>27.88</v>
      </c>
      <c r="I55" s="186">
        <f t="shared" si="7"/>
        <v>46826.41</v>
      </c>
      <c r="J55" s="23"/>
      <c r="K55" s="48"/>
      <c r="L55" s="14"/>
      <c r="M55" s="49"/>
      <c r="N55" s="26">
        <f t="shared" si="8"/>
        <v>46826.41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64" ht="22.5" customHeight="1">
      <c r="A56" s="191" t="s">
        <v>155</v>
      </c>
      <c r="B56" s="188" t="s">
        <v>112</v>
      </c>
      <c r="C56" s="188" t="s">
        <v>156</v>
      </c>
      <c r="D56" s="189" t="s">
        <v>157</v>
      </c>
      <c r="E56" s="188" t="s">
        <v>44</v>
      </c>
      <c r="F56" s="183">
        <v>62</v>
      </c>
      <c r="G56" s="199">
        <v>3949.1</v>
      </c>
      <c r="H56" s="185">
        <f t="shared" si="6"/>
        <v>4905.97</v>
      </c>
      <c r="I56" s="186">
        <f t="shared" si="7"/>
        <v>304170.14</v>
      </c>
      <c r="J56" s="23"/>
      <c r="K56" s="48"/>
      <c r="L56" s="14"/>
      <c r="M56" s="49"/>
      <c r="N56" s="26">
        <f t="shared" si="8"/>
        <v>304170.14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20.25" customHeight="1">
      <c r="A57" s="191" t="s">
        <v>158</v>
      </c>
      <c r="B57" s="188" t="s">
        <v>37</v>
      </c>
      <c r="C57" s="188" t="s">
        <v>159</v>
      </c>
      <c r="D57" s="189" t="s">
        <v>160</v>
      </c>
      <c r="E57" s="188" t="s">
        <v>44</v>
      </c>
      <c r="F57" s="183">
        <v>6</v>
      </c>
      <c r="G57" s="199">
        <v>6485.31</v>
      </c>
      <c r="H57" s="185">
        <f t="shared" si="6"/>
        <v>8056.7</v>
      </c>
      <c r="I57" s="186">
        <f t="shared" si="7"/>
        <v>48340.2</v>
      </c>
      <c r="J57" s="23"/>
      <c r="K57" s="48"/>
      <c r="L57" s="14"/>
      <c r="M57" s="49"/>
      <c r="N57" s="26">
        <f t="shared" si="8"/>
        <v>48340.2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64" ht="30.75" customHeight="1">
      <c r="A58" s="191" t="s">
        <v>161</v>
      </c>
      <c r="B58" s="188" t="s">
        <v>37</v>
      </c>
      <c r="C58" s="188" t="s">
        <v>162</v>
      </c>
      <c r="D58" s="189" t="s">
        <v>163</v>
      </c>
      <c r="E58" s="188" t="s">
        <v>44</v>
      </c>
      <c r="F58" s="183">
        <v>5</v>
      </c>
      <c r="G58" s="199">
        <v>377.71</v>
      </c>
      <c r="H58" s="185">
        <f t="shared" si="6"/>
        <v>469.23</v>
      </c>
      <c r="I58" s="186">
        <f t="shared" si="7"/>
        <v>2346.15</v>
      </c>
      <c r="J58" s="23"/>
      <c r="K58" s="48"/>
      <c r="L58" s="14"/>
      <c r="M58" s="49"/>
      <c r="N58" s="26">
        <f t="shared" si="8"/>
        <v>2346.15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34.5" customHeight="1">
      <c r="A59" s="191" t="s">
        <v>164</v>
      </c>
      <c r="B59" s="188" t="s">
        <v>112</v>
      </c>
      <c r="C59" s="188" t="s">
        <v>165</v>
      </c>
      <c r="D59" s="189" t="s">
        <v>166</v>
      </c>
      <c r="E59" s="188" t="s">
        <v>44</v>
      </c>
      <c r="F59" s="183">
        <v>5</v>
      </c>
      <c r="G59" s="199">
        <v>167.05</v>
      </c>
      <c r="H59" s="185">
        <f t="shared" si="6"/>
        <v>207.53</v>
      </c>
      <c r="I59" s="186">
        <f t="shared" si="7"/>
        <v>1037.6500000000001</v>
      </c>
      <c r="J59" s="23"/>
      <c r="K59" s="48"/>
      <c r="L59" s="14"/>
      <c r="M59" s="49"/>
      <c r="N59" s="26">
        <f t="shared" si="8"/>
        <v>1037.6500000000001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23.25" customHeight="1">
      <c r="A60" s="191" t="s">
        <v>167</v>
      </c>
      <c r="B60" s="188" t="s">
        <v>37</v>
      </c>
      <c r="C60" s="188" t="s">
        <v>168</v>
      </c>
      <c r="D60" s="189" t="s">
        <v>169</v>
      </c>
      <c r="E60" s="188" t="s">
        <v>61</v>
      </c>
      <c r="F60" s="183">
        <v>688.89</v>
      </c>
      <c r="G60" s="199">
        <v>253.51</v>
      </c>
      <c r="H60" s="185">
        <f t="shared" si="6"/>
        <v>314.94</v>
      </c>
      <c r="I60" s="186">
        <f t="shared" si="7"/>
        <v>216959.02</v>
      </c>
      <c r="J60" s="23"/>
      <c r="K60" s="48"/>
      <c r="L60" s="14"/>
      <c r="M60" s="49"/>
      <c r="N60" s="26">
        <f t="shared" si="8"/>
        <v>216959.02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</row>
    <row r="61" spans="1:64" ht="24" customHeight="1">
      <c r="A61" s="191" t="s">
        <v>170</v>
      </c>
      <c r="B61" s="188" t="s">
        <v>118</v>
      </c>
      <c r="C61" s="188" t="s">
        <v>17</v>
      </c>
      <c r="D61" s="189" t="s">
        <v>171</v>
      </c>
      <c r="E61" s="188" t="s">
        <v>61</v>
      </c>
      <c r="F61" s="183">
        <v>10</v>
      </c>
      <c r="G61" s="199">
        <f>Composições!G2</f>
        <v>1395.0608999999999</v>
      </c>
      <c r="H61" s="185">
        <f t="shared" si="6"/>
        <v>1733.08</v>
      </c>
      <c r="I61" s="186">
        <f t="shared" si="7"/>
        <v>17330.8</v>
      </c>
      <c r="J61" s="23"/>
      <c r="K61" s="48"/>
      <c r="L61" s="14"/>
      <c r="M61" s="49"/>
      <c r="N61" s="26">
        <f t="shared" si="8"/>
        <v>17330.8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64" ht="31.5" customHeight="1">
      <c r="A62" s="191" t="s">
        <v>172</v>
      </c>
      <c r="B62" s="188" t="s">
        <v>37</v>
      </c>
      <c r="C62" s="188" t="s">
        <v>173</v>
      </c>
      <c r="D62" s="189" t="s">
        <v>174</v>
      </c>
      <c r="E62" s="188" t="s">
        <v>139</v>
      </c>
      <c r="F62" s="183">
        <v>2171.5699999999997</v>
      </c>
      <c r="G62" s="199">
        <v>6.7</v>
      </c>
      <c r="H62" s="185">
        <f t="shared" si="6"/>
        <v>8.32</v>
      </c>
      <c r="I62" s="186">
        <f t="shared" si="7"/>
        <v>18067.46</v>
      </c>
      <c r="J62" s="23"/>
      <c r="K62" s="48"/>
      <c r="L62" s="14"/>
      <c r="M62" s="49"/>
      <c r="N62" s="26">
        <f t="shared" si="8"/>
        <v>18067.46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64" ht="54" customHeight="1">
      <c r="A63" s="191" t="s">
        <v>175</v>
      </c>
      <c r="B63" s="188" t="s">
        <v>30</v>
      </c>
      <c r="C63" s="188" t="s">
        <v>176</v>
      </c>
      <c r="D63" s="189" t="s">
        <v>177</v>
      </c>
      <c r="E63" s="188" t="s">
        <v>61</v>
      </c>
      <c r="F63" s="183">
        <v>3314.4</v>
      </c>
      <c r="G63" s="199">
        <v>57.6</v>
      </c>
      <c r="H63" s="185">
        <f t="shared" si="6"/>
        <v>71.56</v>
      </c>
      <c r="I63" s="186">
        <f t="shared" si="7"/>
        <v>237178.46</v>
      </c>
      <c r="J63" s="23"/>
      <c r="K63" s="48"/>
      <c r="L63" s="14"/>
      <c r="M63" s="49"/>
      <c r="N63" s="26">
        <f t="shared" si="8"/>
        <v>237178.46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</row>
    <row r="64" spans="1:64" ht="78.75" customHeight="1">
      <c r="A64" s="191" t="s">
        <v>178</v>
      </c>
      <c r="B64" s="188" t="s">
        <v>30</v>
      </c>
      <c r="C64" s="188" t="s">
        <v>179</v>
      </c>
      <c r="D64" s="189" t="s">
        <v>180</v>
      </c>
      <c r="E64" s="188" t="s">
        <v>61</v>
      </c>
      <c r="F64" s="183">
        <v>300</v>
      </c>
      <c r="G64" s="199">
        <v>4630.7</v>
      </c>
      <c r="H64" s="185">
        <f t="shared" si="6"/>
        <v>5752.72</v>
      </c>
      <c r="I64" s="186">
        <f t="shared" si="7"/>
        <v>1725816</v>
      </c>
      <c r="J64" s="23"/>
      <c r="K64" s="48"/>
      <c r="L64" s="14"/>
      <c r="M64" s="49"/>
      <c r="N64" s="26">
        <f t="shared" si="8"/>
        <v>1725816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64" ht="33.75" customHeight="1">
      <c r="A65" s="191" t="s">
        <v>181</v>
      </c>
      <c r="B65" s="188" t="s">
        <v>118</v>
      </c>
      <c r="C65" s="188" t="s">
        <v>143</v>
      </c>
      <c r="D65" s="189" t="s">
        <v>182</v>
      </c>
      <c r="E65" s="188" t="s">
        <v>183</v>
      </c>
      <c r="F65" s="183">
        <v>32</v>
      </c>
      <c r="G65" s="199">
        <f>Composições!G26</f>
        <v>18050.940400000003</v>
      </c>
      <c r="H65" s="185">
        <f t="shared" si="6"/>
        <v>22424.68</v>
      </c>
      <c r="I65" s="186">
        <f t="shared" si="7"/>
        <v>717589.76</v>
      </c>
      <c r="J65" s="23"/>
      <c r="K65" s="48"/>
      <c r="L65" s="14"/>
      <c r="M65" s="49"/>
      <c r="N65" s="26">
        <f t="shared" si="8"/>
        <v>717589.76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6" spans="1:64" ht="22.5" customHeight="1">
      <c r="A66" s="191" t="s">
        <v>184</v>
      </c>
      <c r="B66" s="188" t="s">
        <v>37</v>
      </c>
      <c r="C66" s="188" t="s">
        <v>185</v>
      </c>
      <c r="D66" s="189" t="s">
        <v>186</v>
      </c>
      <c r="E66" s="188" t="s">
        <v>139</v>
      </c>
      <c r="F66" s="183">
        <v>811</v>
      </c>
      <c r="G66" s="199">
        <v>218.09</v>
      </c>
      <c r="H66" s="185">
        <f t="shared" si="6"/>
        <v>270.93</v>
      </c>
      <c r="I66" s="186">
        <f t="shared" si="7"/>
        <v>219724.23</v>
      </c>
      <c r="J66" s="23"/>
      <c r="K66" s="48"/>
      <c r="L66" s="14"/>
      <c r="M66" s="49"/>
      <c r="N66" s="26">
        <f t="shared" si="8"/>
        <v>219724.23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64" ht="40.5" customHeight="1">
      <c r="A67" s="191" t="s">
        <v>187</v>
      </c>
      <c r="B67" s="188" t="s">
        <v>30</v>
      </c>
      <c r="C67" s="188" t="s">
        <v>188</v>
      </c>
      <c r="D67" s="189" t="s">
        <v>189</v>
      </c>
      <c r="E67" s="188" t="s">
        <v>139</v>
      </c>
      <c r="F67" s="183">
        <v>81.099999999999994</v>
      </c>
      <c r="G67" s="199">
        <v>571.78</v>
      </c>
      <c r="H67" s="185">
        <f t="shared" si="6"/>
        <v>710.32</v>
      </c>
      <c r="I67" s="186">
        <f t="shared" si="7"/>
        <v>57606.95</v>
      </c>
      <c r="J67" s="23"/>
      <c r="K67" s="48"/>
      <c r="L67" s="14"/>
      <c r="M67" s="49"/>
      <c r="N67" s="26">
        <f t="shared" si="8"/>
        <v>57606.95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4" ht="19.5" customHeight="1">
      <c r="A68" s="191" t="s">
        <v>190</v>
      </c>
      <c r="B68" s="188" t="s">
        <v>20</v>
      </c>
      <c r="C68" s="188" t="s">
        <v>191</v>
      </c>
      <c r="D68" s="189" t="s">
        <v>192</v>
      </c>
      <c r="E68" s="188" t="s">
        <v>139</v>
      </c>
      <c r="F68" s="183">
        <v>4373.75</v>
      </c>
      <c r="G68" s="199">
        <v>17.7</v>
      </c>
      <c r="H68" s="185">
        <f t="shared" si="6"/>
        <v>21.99</v>
      </c>
      <c r="I68" s="186">
        <f t="shared" si="7"/>
        <v>96178.76</v>
      </c>
      <c r="J68" s="23"/>
      <c r="K68" s="48"/>
      <c r="L68" s="14"/>
      <c r="M68" s="49"/>
      <c r="N68" s="26">
        <f t="shared" si="8"/>
        <v>96178.76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64" ht="21" customHeight="1">
      <c r="A69" s="191" t="s">
        <v>193</v>
      </c>
      <c r="B69" s="188" t="s">
        <v>20</v>
      </c>
      <c r="C69" s="188" t="s">
        <v>194</v>
      </c>
      <c r="D69" s="189" t="s">
        <v>195</v>
      </c>
      <c r="E69" s="188" t="s">
        <v>139</v>
      </c>
      <c r="F69" s="183">
        <v>1128</v>
      </c>
      <c r="G69" s="199">
        <v>7.65</v>
      </c>
      <c r="H69" s="185">
        <f t="shared" si="6"/>
        <v>9.5</v>
      </c>
      <c r="I69" s="186">
        <f t="shared" si="7"/>
        <v>10716</v>
      </c>
      <c r="J69" s="23"/>
      <c r="K69" s="48"/>
      <c r="L69" s="14"/>
      <c r="M69" s="49"/>
      <c r="N69" s="26">
        <f t="shared" si="8"/>
        <v>10716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</row>
    <row r="70" spans="1:64" ht="19.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3"/>
      <c r="K70" s="50"/>
      <c r="L70" s="51"/>
      <c r="M70" s="49"/>
      <c r="N70" s="26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64" ht="22.5" customHeight="1">
      <c r="A71" s="176" t="s">
        <v>119</v>
      </c>
      <c r="B71" s="177" t="s">
        <v>196</v>
      </c>
      <c r="C71" s="177"/>
      <c r="D71" s="177"/>
      <c r="E71" s="177"/>
      <c r="F71" s="177"/>
      <c r="G71" s="177"/>
      <c r="H71" s="177"/>
      <c r="I71" s="178">
        <f>SUM(I72:I78)</f>
        <v>4280265.21</v>
      </c>
      <c r="J71" s="23"/>
      <c r="K71" s="46"/>
      <c r="L71" s="47"/>
      <c r="M71" s="32">
        <f>I71</f>
        <v>4280265.21</v>
      </c>
      <c r="N71" s="30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4" ht="53.25" customHeight="1">
      <c r="A72" s="191" t="s">
        <v>197</v>
      </c>
      <c r="B72" s="188" t="s">
        <v>112</v>
      </c>
      <c r="C72" s="188">
        <v>51100</v>
      </c>
      <c r="D72" s="189" t="s">
        <v>198</v>
      </c>
      <c r="E72" s="188" t="s">
        <v>23</v>
      </c>
      <c r="F72" s="183">
        <v>18082.18</v>
      </c>
      <c r="G72" s="190">
        <v>23.55</v>
      </c>
      <c r="H72" s="185">
        <f t="shared" ref="H72:H78" si="9">ROUND(G72*1.2423,2)</f>
        <v>29.26</v>
      </c>
      <c r="I72" s="186">
        <f t="shared" ref="I72:I78" si="10">ROUND(H72*F72,2)</f>
        <v>529084.59</v>
      </c>
      <c r="J72" s="23"/>
      <c r="K72" s="48"/>
      <c r="L72" s="14"/>
      <c r="M72" s="49"/>
      <c r="N72" s="26">
        <f t="shared" ref="N72:N78" si="11">ROUND(F72*H72,2)</f>
        <v>529084.59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74.25" customHeight="1">
      <c r="A73" s="191" t="s">
        <v>199</v>
      </c>
      <c r="B73" s="192" t="s">
        <v>30</v>
      </c>
      <c r="C73" s="192" t="s">
        <v>200</v>
      </c>
      <c r="D73" s="193" t="s">
        <v>201</v>
      </c>
      <c r="E73" s="192" t="s">
        <v>61</v>
      </c>
      <c r="F73" s="183">
        <v>4464.46</v>
      </c>
      <c r="G73" s="190">
        <v>52.64</v>
      </c>
      <c r="H73" s="185">
        <f t="shared" si="9"/>
        <v>65.39</v>
      </c>
      <c r="I73" s="197">
        <f t="shared" si="10"/>
        <v>291931.03999999998</v>
      </c>
      <c r="J73" s="23"/>
      <c r="K73" s="52"/>
      <c r="L73" s="14"/>
      <c r="M73" s="49"/>
      <c r="N73" s="26">
        <f t="shared" si="11"/>
        <v>291931.03999999998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27.75" customHeight="1">
      <c r="A74" s="191" t="s">
        <v>202</v>
      </c>
      <c r="B74" s="188" t="s">
        <v>203</v>
      </c>
      <c r="C74" s="188" t="s">
        <v>204</v>
      </c>
      <c r="D74" s="189" t="s">
        <v>205</v>
      </c>
      <c r="E74" s="188" t="s">
        <v>206</v>
      </c>
      <c r="F74" s="183">
        <v>6328.77</v>
      </c>
      <c r="G74" s="190">
        <v>215.05</v>
      </c>
      <c r="H74" s="185">
        <f t="shared" si="9"/>
        <v>267.16000000000003</v>
      </c>
      <c r="I74" s="186">
        <f t="shared" si="10"/>
        <v>1690794.19</v>
      </c>
      <c r="J74" s="23"/>
      <c r="K74" s="48"/>
      <c r="L74" s="14"/>
      <c r="M74" s="49"/>
      <c r="N74" s="26">
        <f t="shared" si="11"/>
        <v>1690794.19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25.5" customHeight="1">
      <c r="A75" s="191" t="s">
        <v>207</v>
      </c>
      <c r="B75" s="188" t="s">
        <v>37</v>
      </c>
      <c r="C75" s="188" t="s">
        <v>149</v>
      </c>
      <c r="D75" s="189" t="s">
        <v>150</v>
      </c>
      <c r="E75" s="188" t="s">
        <v>139</v>
      </c>
      <c r="F75" s="183">
        <v>1808.22</v>
      </c>
      <c r="G75" s="190">
        <v>246.86</v>
      </c>
      <c r="H75" s="185">
        <f t="shared" si="9"/>
        <v>306.67</v>
      </c>
      <c r="I75" s="186">
        <f t="shared" si="10"/>
        <v>554526.82999999996</v>
      </c>
      <c r="J75" s="23"/>
      <c r="K75" s="48"/>
      <c r="L75" s="14"/>
      <c r="M75" s="49"/>
      <c r="N75" s="26">
        <f t="shared" si="11"/>
        <v>554526.82999999996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4" ht="24" customHeight="1">
      <c r="A76" s="191" t="s">
        <v>208</v>
      </c>
      <c r="B76" s="188" t="s">
        <v>37</v>
      </c>
      <c r="C76" s="188" t="s">
        <v>209</v>
      </c>
      <c r="D76" s="189" t="s">
        <v>210</v>
      </c>
      <c r="E76" s="188" t="s">
        <v>23</v>
      </c>
      <c r="F76" s="183">
        <v>18341.97</v>
      </c>
      <c r="G76" s="190">
        <v>7.11</v>
      </c>
      <c r="H76" s="185">
        <f t="shared" si="9"/>
        <v>8.83</v>
      </c>
      <c r="I76" s="186">
        <f t="shared" si="10"/>
        <v>161959.6</v>
      </c>
      <c r="J76" s="23"/>
      <c r="K76" s="48"/>
      <c r="L76" s="14"/>
      <c r="M76" s="49"/>
      <c r="N76" s="26">
        <f t="shared" si="11"/>
        <v>161959.6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64" ht="31.5" customHeight="1">
      <c r="A77" s="191" t="s">
        <v>211</v>
      </c>
      <c r="B77" s="188" t="s">
        <v>203</v>
      </c>
      <c r="C77" s="188" t="s">
        <v>212</v>
      </c>
      <c r="D77" s="189" t="s">
        <v>213</v>
      </c>
      <c r="E77" s="188" t="s">
        <v>206</v>
      </c>
      <c r="F77" s="183">
        <v>733.67</v>
      </c>
      <c r="G77" s="190">
        <v>1153.1400000000001</v>
      </c>
      <c r="H77" s="185">
        <f t="shared" si="9"/>
        <v>1432.55</v>
      </c>
      <c r="I77" s="186">
        <f t="shared" si="10"/>
        <v>1051018.96</v>
      </c>
      <c r="J77" s="23"/>
      <c r="K77" s="48"/>
      <c r="L77" s="14"/>
      <c r="M77" s="49"/>
      <c r="N77" s="26">
        <f t="shared" si="11"/>
        <v>1051018.96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64" ht="23.25" customHeight="1">
      <c r="A78" s="191" t="s">
        <v>214</v>
      </c>
      <c r="B78" s="188" t="s">
        <v>20</v>
      </c>
      <c r="C78" s="188" t="s">
        <v>194</v>
      </c>
      <c r="D78" s="189" t="s">
        <v>195</v>
      </c>
      <c r="E78" s="188" t="s">
        <v>139</v>
      </c>
      <c r="F78" s="183">
        <v>100</v>
      </c>
      <c r="G78" s="184">
        <v>7.65</v>
      </c>
      <c r="H78" s="201">
        <f t="shared" si="9"/>
        <v>9.5</v>
      </c>
      <c r="I78" s="202">
        <f t="shared" si="10"/>
        <v>950</v>
      </c>
      <c r="K78" s="52"/>
      <c r="L78" s="14"/>
      <c r="M78" s="49"/>
      <c r="N78" s="26">
        <f t="shared" si="11"/>
        <v>950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64" ht="18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3"/>
      <c r="K79" s="50"/>
      <c r="L79" s="51"/>
      <c r="M79" s="49"/>
      <c r="N79" s="26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64" ht="23.25" customHeight="1">
      <c r="A80" s="176" t="s">
        <v>215</v>
      </c>
      <c r="B80" s="177" t="s">
        <v>216</v>
      </c>
      <c r="C80" s="177"/>
      <c r="D80" s="177"/>
      <c r="E80" s="177"/>
      <c r="F80" s="177"/>
      <c r="G80" s="177"/>
      <c r="H80" s="177"/>
      <c r="I80" s="178">
        <f>SUM(I81:I89)</f>
        <v>299279.58</v>
      </c>
      <c r="J80" s="23"/>
      <c r="K80" s="46"/>
      <c r="L80" s="47"/>
      <c r="M80" s="32">
        <f>I80</f>
        <v>299279.58</v>
      </c>
      <c r="N80" s="26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4" ht="27.75" customHeight="1">
      <c r="A81" s="191" t="s">
        <v>217</v>
      </c>
      <c r="B81" s="188" t="s">
        <v>112</v>
      </c>
      <c r="C81" s="188" t="s">
        <v>165</v>
      </c>
      <c r="D81" s="189" t="s">
        <v>166</v>
      </c>
      <c r="E81" s="188" t="s">
        <v>44</v>
      </c>
      <c r="F81" s="183">
        <v>5</v>
      </c>
      <c r="G81" s="190">
        <v>167.05</v>
      </c>
      <c r="H81" s="185">
        <f t="shared" ref="H81:H89" si="12">ROUND(G81*1.2423,2)</f>
        <v>207.53</v>
      </c>
      <c r="I81" s="186">
        <f t="shared" ref="I81:I89" si="13">ROUND(H81*F81,2)</f>
        <v>1037.6500000000001</v>
      </c>
      <c r="J81" s="23"/>
      <c r="K81" s="48"/>
      <c r="L81" s="14"/>
      <c r="M81" s="49"/>
      <c r="N81" s="26">
        <f t="shared" ref="N81:N89" si="14">ROUND(F81*H81,2)</f>
        <v>1037.6500000000001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27" customHeight="1">
      <c r="A82" s="191" t="s">
        <v>218</v>
      </c>
      <c r="B82" s="188" t="s">
        <v>37</v>
      </c>
      <c r="C82" s="188" t="s">
        <v>219</v>
      </c>
      <c r="D82" s="189" t="s">
        <v>220</v>
      </c>
      <c r="E82" s="188" t="s">
        <v>23</v>
      </c>
      <c r="F82" s="183">
        <v>82.6</v>
      </c>
      <c r="G82" s="190">
        <v>100.74</v>
      </c>
      <c r="H82" s="185">
        <f t="shared" si="12"/>
        <v>125.15</v>
      </c>
      <c r="I82" s="186">
        <f t="shared" si="13"/>
        <v>10337.39</v>
      </c>
      <c r="J82" s="23"/>
      <c r="K82" s="48"/>
      <c r="L82" s="14"/>
      <c r="M82" s="49"/>
      <c r="N82" s="26">
        <f t="shared" si="14"/>
        <v>10337.39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22.5" customHeight="1">
      <c r="A83" s="191" t="s">
        <v>221</v>
      </c>
      <c r="B83" s="188" t="s">
        <v>37</v>
      </c>
      <c r="C83" s="188" t="s">
        <v>222</v>
      </c>
      <c r="D83" s="189" t="s">
        <v>223</v>
      </c>
      <c r="E83" s="188" t="s">
        <v>224</v>
      </c>
      <c r="F83" s="183">
        <v>1707.1999999999998</v>
      </c>
      <c r="G83" s="190">
        <v>13.04</v>
      </c>
      <c r="H83" s="185">
        <f t="shared" si="12"/>
        <v>16.2</v>
      </c>
      <c r="I83" s="186">
        <f t="shared" si="13"/>
        <v>27656.639999999999</v>
      </c>
      <c r="J83" s="23"/>
      <c r="K83" s="48"/>
      <c r="L83" s="14"/>
      <c r="M83" s="49"/>
      <c r="N83" s="26">
        <f t="shared" si="14"/>
        <v>27656.639999999999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22.5" customHeight="1">
      <c r="A84" s="191" t="s">
        <v>225</v>
      </c>
      <c r="B84" s="188" t="s">
        <v>37</v>
      </c>
      <c r="C84" s="188" t="s">
        <v>226</v>
      </c>
      <c r="D84" s="189" t="s">
        <v>227</v>
      </c>
      <c r="E84" s="188" t="s">
        <v>139</v>
      </c>
      <c r="F84" s="183">
        <v>155.19999999999999</v>
      </c>
      <c r="G84" s="190">
        <v>465.21</v>
      </c>
      <c r="H84" s="185">
        <f t="shared" si="12"/>
        <v>577.92999999999995</v>
      </c>
      <c r="I84" s="186">
        <f t="shared" si="13"/>
        <v>89694.74</v>
      </c>
      <c r="J84" s="23"/>
      <c r="K84" s="48"/>
      <c r="L84" s="14"/>
      <c r="M84" s="49"/>
      <c r="N84" s="26">
        <f t="shared" si="14"/>
        <v>89694.74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23.25" customHeight="1">
      <c r="A85" s="191" t="s">
        <v>228</v>
      </c>
      <c r="B85" s="188" t="s">
        <v>37</v>
      </c>
      <c r="C85" s="188" t="s">
        <v>229</v>
      </c>
      <c r="D85" s="189" t="s">
        <v>230</v>
      </c>
      <c r="E85" s="188" t="s">
        <v>139</v>
      </c>
      <c r="F85" s="183">
        <v>155.19999999999999</v>
      </c>
      <c r="G85" s="190">
        <v>118.65</v>
      </c>
      <c r="H85" s="185">
        <f t="shared" si="12"/>
        <v>147.4</v>
      </c>
      <c r="I85" s="186">
        <f t="shared" si="13"/>
        <v>22876.48</v>
      </c>
      <c r="J85" s="23"/>
      <c r="K85" s="48"/>
      <c r="L85" s="14"/>
      <c r="M85" s="49"/>
      <c r="N85" s="26">
        <f t="shared" si="14"/>
        <v>22876.48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t="23.25" customHeight="1">
      <c r="A86" s="191" t="s">
        <v>231</v>
      </c>
      <c r="B86" s="188" t="s">
        <v>203</v>
      </c>
      <c r="C86" s="188" t="s">
        <v>204</v>
      </c>
      <c r="D86" s="189" t="s">
        <v>205</v>
      </c>
      <c r="E86" s="188" t="s">
        <v>206</v>
      </c>
      <c r="F86" s="183">
        <v>271.60000000000002</v>
      </c>
      <c r="G86" s="190">
        <v>215.05</v>
      </c>
      <c r="H86" s="185">
        <f t="shared" si="12"/>
        <v>267.16000000000003</v>
      </c>
      <c r="I86" s="186">
        <f t="shared" si="13"/>
        <v>72560.66</v>
      </c>
      <c r="J86" s="23"/>
      <c r="K86" s="48"/>
      <c r="L86" s="14"/>
      <c r="M86" s="49"/>
      <c r="N86" s="26">
        <f t="shared" si="14"/>
        <v>72560.66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23.25" customHeight="1">
      <c r="A87" s="191" t="s">
        <v>232</v>
      </c>
      <c r="B87" s="188" t="s">
        <v>37</v>
      </c>
      <c r="C87" s="188" t="s">
        <v>149</v>
      </c>
      <c r="D87" s="189" t="s">
        <v>150</v>
      </c>
      <c r="E87" s="188" t="s">
        <v>139</v>
      </c>
      <c r="F87" s="183">
        <v>77.599999999999994</v>
      </c>
      <c r="G87" s="190">
        <v>246.86</v>
      </c>
      <c r="H87" s="185">
        <f t="shared" si="12"/>
        <v>306.67</v>
      </c>
      <c r="I87" s="186">
        <f t="shared" si="13"/>
        <v>23797.59</v>
      </c>
      <c r="J87" s="23"/>
      <c r="K87" s="48"/>
      <c r="L87" s="14"/>
      <c r="M87" s="49"/>
      <c r="N87" s="26">
        <f t="shared" si="14"/>
        <v>23797.59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4" ht="23.25" customHeight="1">
      <c r="A88" s="191" t="s">
        <v>233</v>
      </c>
      <c r="B88" s="188" t="s">
        <v>37</v>
      </c>
      <c r="C88" s="188" t="s">
        <v>209</v>
      </c>
      <c r="D88" s="189" t="s">
        <v>210</v>
      </c>
      <c r="E88" s="188" t="s">
        <v>23</v>
      </c>
      <c r="F88" s="183">
        <v>776</v>
      </c>
      <c r="G88" s="190">
        <v>7.11</v>
      </c>
      <c r="H88" s="185">
        <f t="shared" si="12"/>
        <v>8.83</v>
      </c>
      <c r="I88" s="186">
        <f t="shared" si="13"/>
        <v>6852.08</v>
      </c>
      <c r="J88" s="23"/>
      <c r="K88" s="48"/>
      <c r="L88" s="14"/>
      <c r="M88" s="49"/>
      <c r="N88" s="26">
        <f t="shared" si="14"/>
        <v>6852.08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64" ht="29.25" customHeight="1">
      <c r="A89" s="191" t="s">
        <v>234</v>
      </c>
      <c r="B89" s="188" t="s">
        <v>203</v>
      </c>
      <c r="C89" s="188" t="s">
        <v>212</v>
      </c>
      <c r="D89" s="189" t="s">
        <v>213</v>
      </c>
      <c r="E89" s="188" t="s">
        <v>206</v>
      </c>
      <c r="F89" s="183">
        <v>31.04</v>
      </c>
      <c r="G89" s="190">
        <v>1153.1400000000001</v>
      </c>
      <c r="H89" s="185">
        <f t="shared" si="12"/>
        <v>1432.55</v>
      </c>
      <c r="I89" s="186">
        <f t="shared" si="13"/>
        <v>44466.35</v>
      </c>
      <c r="J89" s="23"/>
      <c r="K89" s="48"/>
      <c r="L89" s="14"/>
      <c r="M89" s="49"/>
      <c r="N89" s="26">
        <f t="shared" si="14"/>
        <v>44466.35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</row>
    <row r="90" spans="1:64" ht="20.25" customHeight="1">
      <c r="A90" s="200"/>
      <c r="B90" s="200"/>
      <c r="C90" s="200"/>
      <c r="D90" s="200"/>
      <c r="E90" s="200"/>
      <c r="F90" s="200"/>
      <c r="G90" s="200"/>
      <c r="H90" s="200"/>
      <c r="I90" s="200"/>
      <c r="J90" s="23"/>
      <c r="K90" s="50"/>
      <c r="L90" s="51"/>
      <c r="M90" s="49"/>
      <c r="N90" s="26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</row>
    <row r="91" spans="1:64" ht="23.25" customHeight="1">
      <c r="A91" s="176" t="s">
        <v>235</v>
      </c>
      <c r="B91" s="177" t="s">
        <v>236</v>
      </c>
      <c r="C91" s="177"/>
      <c r="D91" s="177"/>
      <c r="E91" s="177"/>
      <c r="F91" s="177"/>
      <c r="G91" s="177"/>
      <c r="H91" s="177"/>
      <c r="I91" s="178">
        <f>SUM(I92:I94)</f>
        <v>36444.100000000006</v>
      </c>
      <c r="J91" s="23"/>
      <c r="K91" s="46"/>
      <c r="L91" s="47"/>
      <c r="M91" s="32">
        <f>I91</f>
        <v>36444.100000000006</v>
      </c>
      <c r="N91" s="26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64" ht="42.75" customHeight="1">
      <c r="A92" s="191" t="s">
        <v>237</v>
      </c>
      <c r="B92" s="188" t="s">
        <v>37</v>
      </c>
      <c r="C92" s="188" t="s">
        <v>131</v>
      </c>
      <c r="D92" s="189" t="s">
        <v>132</v>
      </c>
      <c r="E92" s="188" t="s">
        <v>23</v>
      </c>
      <c r="F92" s="183">
        <v>557.78</v>
      </c>
      <c r="G92" s="190">
        <v>10.9</v>
      </c>
      <c r="H92" s="185">
        <f>ROUND(G92*1.2423,2)</f>
        <v>13.54</v>
      </c>
      <c r="I92" s="186">
        <f>ROUND(H92*F92,2)</f>
        <v>7552.34</v>
      </c>
      <c r="J92" s="23"/>
      <c r="K92" s="48"/>
      <c r="L92" s="14"/>
      <c r="M92" s="49"/>
      <c r="N92" s="26">
        <f>ROUND(F92*H92,2)</f>
        <v>7552.34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64" ht="21.75" customHeight="1">
      <c r="A93" s="191" t="s">
        <v>238</v>
      </c>
      <c r="B93" s="188" t="s">
        <v>37</v>
      </c>
      <c r="C93" s="188" t="s">
        <v>209</v>
      </c>
      <c r="D93" s="189" t="s">
        <v>210</v>
      </c>
      <c r="E93" s="188" t="s">
        <v>23</v>
      </c>
      <c r="F93" s="183">
        <v>557.78</v>
      </c>
      <c r="G93" s="190">
        <v>7.11</v>
      </c>
      <c r="H93" s="185">
        <f>ROUND(G93*1.2423,2)</f>
        <v>8.83</v>
      </c>
      <c r="I93" s="186">
        <f>ROUND(H93*F93,2)</f>
        <v>4925.2</v>
      </c>
      <c r="J93" s="23"/>
      <c r="K93" s="48"/>
      <c r="L93" s="14"/>
      <c r="M93" s="49"/>
      <c r="N93" s="26">
        <f>ROUND(F93*H93,2)</f>
        <v>4925.2</v>
      </c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64" ht="29.25" customHeight="1">
      <c r="A94" s="191" t="s">
        <v>239</v>
      </c>
      <c r="B94" s="188" t="s">
        <v>203</v>
      </c>
      <c r="C94" s="188" t="s">
        <v>212</v>
      </c>
      <c r="D94" s="189" t="s">
        <v>213</v>
      </c>
      <c r="E94" s="188" t="s">
        <v>206</v>
      </c>
      <c r="F94" s="183">
        <v>16.73</v>
      </c>
      <c r="G94" s="190">
        <v>1153.1400000000001</v>
      </c>
      <c r="H94" s="185">
        <f>ROUND(G94*1.2423,2)</f>
        <v>1432.55</v>
      </c>
      <c r="I94" s="186">
        <f>ROUND(H94*F94,2)</f>
        <v>23966.560000000001</v>
      </c>
      <c r="J94" s="23"/>
      <c r="K94" s="48"/>
      <c r="L94" s="14"/>
      <c r="M94" s="49"/>
      <c r="N94" s="26">
        <f>ROUND(F94*H94,2)</f>
        <v>23966.560000000001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64" ht="22.5" customHeight="1">
      <c r="A95" s="200"/>
      <c r="B95" s="200"/>
      <c r="C95" s="200"/>
      <c r="D95" s="200"/>
      <c r="E95" s="200"/>
      <c r="F95" s="200"/>
      <c r="G95" s="200"/>
      <c r="H95" s="200"/>
      <c r="I95" s="200"/>
      <c r="J95" s="23"/>
      <c r="K95" s="50"/>
      <c r="L95" s="51"/>
      <c r="M95" s="49"/>
      <c r="N95" s="26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64" ht="23.25" customHeight="1">
      <c r="A96" s="176" t="s">
        <v>240</v>
      </c>
      <c r="B96" s="177" t="s">
        <v>241</v>
      </c>
      <c r="C96" s="177"/>
      <c r="D96" s="177"/>
      <c r="E96" s="177"/>
      <c r="F96" s="177"/>
      <c r="G96" s="177"/>
      <c r="H96" s="177"/>
      <c r="I96" s="178">
        <f>SUM(I97:I99)</f>
        <v>570412.47</v>
      </c>
      <c r="J96" s="23"/>
      <c r="K96" s="46"/>
      <c r="L96" s="47"/>
      <c r="M96" s="32">
        <f>I96</f>
        <v>570412.47</v>
      </c>
      <c r="N96" s="26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28.5" customHeight="1">
      <c r="A97" s="191" t="s">
        <v>242</v>
      </c>
      <c r="B97" s="188" t="s">
        <v>20</v>
      </c>
      <c r="C97" s="188" t="s">
        <v>243</v>
      </c>
      <c r="D97" s="189" t="s">
        <v>244</v>
      </c>
      <c r="E97" s="188" t="s">
        <v>139</v>
      </c>
      <c r="F97" s="183">
        <v>588.5</v>
      </c>
      <c r="G97" s="190">
        <v>761.38</v>
      </c>
      <c r="H97" s="185">
        <f>ROUND(G97*1.2423,2)</f>
        <v>945.86</v>
      </c>
      <c r="I97" s="186">
        <f>ROUND(H97*F97,2)</f>
        <v>556638.61</v>
      </c>
      <c r="J97" s="23"/>
      <c r="K97" s="48"/>
      <c r="L97" s="14"/>
      <c r="M97" s="49"/>
      <c r="N97" s="26">
        <f>ROUND(F97*H97,2)</f>
        <v>556638.61</v>
      </c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23.25" customHeight="1">
      <c r="A98" s="191" t="s">
        <v>245</v>
      </c>
      <c r="B98" s="188" t="s">
        <v>20</v>
      </c>
      <c r="C98" s="188">
        <v>170254</v>
      </c>
      <c r="D98" s="189" t="s">
        <v>246</v>
      </c>
      <c r="E98" s="188" t="s">
        <v>61</v>
      </c>
      <c r="F98" s="183">
        <v>226.2</v>
      </c>
      <c r="G98" s="190">
        <v>36.08</v>
      </c>
      <c r="H98" s="185">
        <f>ROUND(G98*1.2423,2)</f>
        <v>44.82</v>
      </c>
      <c r="I98" s="186">
        <f>ROUND(H98*F98,2)</f>
        <v>10138.280000000001</v>
      </c>
      <c r="J98" s="23"/>
      <c r="K98" s="48"/>
      <c r="L98" s="14"/>
      <c r="M98" s="49"/>
      <c r="N98" s="26">
        <f>ROUND(F98*H98,2)</f>
        <v>10138.280000000001</v>
      </c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29.25" customHeight="1">
      <c r="A99" s="191" t="s">
        <v>247</v>
      </c>
      <c r="B99" s="188" t="s">
        <v>37</v>
      </c>
      <c r="C99" s="188" t="s">
        <v>248</v>
      </c>
      <c r="D99" s="189" t="s">
        <v>249</v>
      </c>
      <c r="E99" s="188" t="s">
        <v>23</v>
      </c>
      <c r="F99" s="183">
        <v>21.58</v>
      </c>
      <c r="G99" s="190">
        <v>135.61000000000001</v>
      </c>
      <c r="H99" s="185">
        <f>ROUND(G99*1.2423,2)</f>
        <v>168.47</v>
      </c>
      <c r="I99" s="186">
        <f>ROUND(H99*F99,2)</f>
        <v>3635.58</v>
      </c>
      <c r="J99" s="23"/>
      <c r="K99" s="48"/>
      <c r="L99" s="14"/>
      <c r="M99" s="49"/>
      <c r="N99" s="26">
        <f>ROUND(F99*H99,2)</f>
        <v>3635.58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22.5" customHeight="1">
      <c r="A100" s="200"/>
      <c r="B100" s="200"/>
      <c r="C100" s="200"/>
      <c r="D100" s="200"/>
      <c r="E100" s="200"/>
      <c r="F100" s="200"/>
      <c r="G100" s="200"/>
      <c r="H100" s="200"/>
      <c r="I100" s="200"/>
      <c r="J100" s="23"/>
      <c r="K100" s="50"/>
      <c r="L100" s="51"/>
      <c r="M100" s="49"/>
      <c r="N100" s="26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25.5" customHeight="1">
      <c r="A101" s="176" t="s">
        <v>250</v>
      </c>
      <c r="B101" s="177" t="s">
        <v>251</v>
      </c>
      <c r="C101" s="177"/>
      <c r="D101" s="177"/>
      <c r="E101" s="177"/>
      <c r="F101" s="177"/>
      <c r="G101" s="177"/>
      <c r="H101" s="177"/>
      <c r="I101" s="178">
        <f>SUM(I102:I106)</f>
        <v>1448749.03</v>
      </c>
      <c r="J101" s="23"/>
      <c r="K101" s="46"/>
      <c r="L101" s="47"/>
      <c r="M101" s="32">
        <f>I101</f>
        <v>1448749.03</v>
      </c>
      <c r="N101" s="26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ht="25.5" customHeight="1">
      <c r="A102" s="191" t="s">
        <v>252</v>
      </c>
      <c r="B102" s="188" t="s">
        <v>37</v>
      </c>
      <c r="C102" s="188" t="s">
        <v>253</v>
      </c>
      <c r="D102" s="189" t="s">
        <v>254</v>
      </c>
      <c r="E102" s="188" t="s">
        <v>61</v>
      </c>
      <c r="F102" s="183">
        <v>2419.2700000000004</v>
      </c>
      <c r="G102" s="190">
        <v>1.43</v>
      </c>
      <c r="H102" s="185">
        <f>ROUND(G102*1.2423,2)</f>
        <v>1.78</v>
      </c>
      <c r="I102" s="186">
        <f>ROUND(H102*F102,2)</f>
        <v>4306.3</v>
      </c>
      <c r="J102" s="23"/>
      <c r="K102" s="48"/>
      <c r="L102" s="14"/>
      <c r="M102" s="49"/>
      <c r="N102" s="26">
        <f>ROUND(F102*H102,2)</f>
        <v>4306.3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64" ht="39.75" customHeight="1">
      <c r="A103" s="191" t="s">
        <v>255</v>
      </c>
      <c r="B103" s="188" t="s">
        <v>30</v>
      </c>
      <c r="C103" s="188" t="s">
        <v>256</v>
      </c>
      <c r="D103" s="189" t="s">
        <v>257</v>
      </c>
      <c r="E103" s="188" t="s">
        <v>61</v>
      </c>
      <c r="F103" s="183">
        <v>756.33999999999992</v>
      </c>
      <c r="G103" s="190">
        <v>177.98</v>
      </c>
      <c r="H103" s="185">
        <f>ROUND(G103*1.2423,2)</f>
        <v>221.1</v>
      </c>
      <c r="I103" s="186">
        <f>ROUND(H103*F103,2)</f>
        <v>167226.76999999999</v>
      </c>
      <c r="J103" s="23"/>
      <c r="K103" s="48"/>
      <c r="L103" s="14"/>
      <c r="M103" s="49"/>
      <c r="N103" s="26">
        <f>ROUND(F103*H103,2)</f>
        <v>167226.76999999999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64" ht="33" customHeight="1">
      <c r="A104" s="191" t="s">
        <v>258</v>
      </c>
      <c r="B104" s="188" t="s">
        <v>20</v>
      </c>
      <c r="C104" s="188" t="s">
        <v>259</v>
      </c>
      <c r="D104" s="189" t="s">
        <v>260</v>
      </c>
      <c r="E104" s="188" t="s">
        <v>61</v>
      </c>
      <c r="F104" s="183">
        <v>963.9799999999999</v>
      </c>
      <c r="G104" s="190">
        <v>997.51</v>
      </c>
      <c r="H104" s="185">
        <f>ROUND(G104*1.2423,2)</f>
        <v>1239.21</v>
      </c>
      <c r="I104" s="186">
        <f>ROUND(H104*F104,2)</f>
        <v>1194573.6599999999</v>
      </c>
      <c r="J104" s="23"/>
      <c r="K104" s="48"/>
      <c r="L104" s="14"/>
      <c r="M104" s="49"/>
      <c r="N104" s="26">
        <f>ROUND(F104*H104,2)</f>
        <v>1194573.6599999999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64" ht="53.25" customHeight="1">
      <c r="A105" s="191" t="s">
        <v>261</v>
      </c>
      <c r="B105" s="188" t="s">
        <v>30</v>
      </c>
      <c r="C105" s="188" t="s">
        <v>262</v>
      </c>
      <c r="D105" s="189" t="s">
        <v>263</v>
      </c>
      <c r="E105" s="188" t="s">
        <v>139</v>
      </c>
      <c r="F105" s="183">
        <v>10</v>
      </c>
      <c r="G105" s="190">
        <v>2422.9499999999998</v>
      </c>
      <c r="H105" s="185">
        <f>ROUND(G105*1.2423,2)</f>
        <v>3010.03</v>
      </c>
      <c r="I105" s="186">
        <f>ROUND(H105*F105,2)</f>
        <v>30100.3</v>
      </c>
      <c r="J105" s="23"/>
      <c r="K105" s="48"/>
      <c r="L105" s="14"/>
      <c r="M105" s="49"/>
      <c r="N105" s="26">
        <f>ROUND(F105*H105,2)</f>
        <v>30100.3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64" ht="31.5" customHeight="1">
      <c r="A106" s="191" t="s">
        <v>264</v>
      </c>
      <c r="B106" s="188" t="s">
        <v>37</v>
      </c>
      <c r="C106" s="188" t="s">
        <v>265</v>
      </c>
      <c r="D106" s="189" t="s">
        <v>266</v>
      </c>
      <c r="E106" s="188" t="s">
        <v>23</v>
      </c>
      <c r="F106" s="183">
        <v>300</v>
      </c>
      <c r="G106" s="190">
        <v>140.97999999999999</v>
      </c>
      <c r="H106" s="185">
        <f>ROUND(G106*1.2423,2)</f>
        <v>175.14</v>
      </c>
      <c r="I106" s="186">
        <f>ROUND(H106*F106,2)</f>
        <v>52542</v>
      </c>
      <c r="J106" s="23"/>
      <c r="K106" s="48"/>
      <c r="L106" s="14"/>
      <c r="M106" s="49"/>
      <c r="N106" s="26">
        <f>ROUND(F106*H106,2)</f>
        <v>52542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64" ht="24" customHeigh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3"/>
      <c r="K107" s="53"/>
      <c r="L107" s="47"/>
      <c r="M107" s="54"/>
      <c r="N107" s="26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64" ht="21" customHeight="1">
      <c r="A108" s="176" t="s">
        <v>267</v>
      </c>
      <c r="B108" s="177" t="s">
        <v>268</v>
      </c>
      <c r="C108" s="177"/>
      <c r="D108" s="177"/>
      <c r="E108" s="177"/>
      <c r="F108" s="177"/>
      <c r="G108" s="177"/>
      <c r="H108" s="177"/>
      <c r="I108" s="178">
        <f>SUM(I109:I111)</f>
        <v>1105263.8400000001</v>
      </c>
      <c r="J108" s="23"/>
      <c r="K108" s="48"/>
      <c r="L108" s="14"/>
      <c r="M108" s="32">
        <f>I108</f>
        <v>1105263.8400000001</v>
      </c>
      <c r="N108" s="26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64" ht="50.25" customHeight="1">
      <c r="A109" s="203" t="s">
        <v>269</v>
      </c>
      <c r="B109" s="192" t="s">
        <v>37</v>
      </c>
      <c r="C109" s="192" t="s">
        <v>270</v>
      </c>
      <c r="D109" s="193" t="s">
        <v>271</v>
      </c>
      <c r="E109" s="192" t="s">
        <v>23</v>
      </c>
      <c r="F109" s="194">
        <v>1794.2</v>
      </c>
      <c r="G109" s="184">
        <v>112.22</v>
      </c>
      <c r="H109" s="204">
        <f>ROUND(G109*1.2423,2)</f>
        <v>139.41</v>
      </c>
      <c r="I109" s="205">
        <f>ROUND(H109*F109,2)</f>
        <v>250129.42</v>
      </c>
      <c r="J109" s="7"/>
      <c r="K109" s="48"/>
      <c r="L109" s="14"/>
      <c r="M109" s="49"/>
      <c r="N109" s="26">
        <f>ROUND(F109*H109,2)</f>
        <v>250129.42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64" ht="33.75" customHeight="1">
      <c r="A110" s="203" t="s">
        <v>272</v>
      </c>
      <c r="B110" s="192" t="s">
        <v>273</v>
      </c>
      <c r="C110" s="192" t="s">
        <v>87</v>
      </c>
      <c r="D110" s="193" t="s">
        <v>274</v>
      </c>
      <c r="E110" s="192" t="s">
        <v>275</v>
      </c>
      <c r="F110" s="194">
        <v>7</v>
      </c>
      <c r="G110" s="184">
        <v>95860</v>
      </c>
      <c r="H110" s="204">
        <f>ROUND(G110*1.2423,2)</f>
        <v>119086.88</v>
      </c>
      <c r="I110" s="205">
        <f>ROUND(H110*F110,2)</f>
        <v>833608.16</v>
      </c>
      <c r="J110" s="7"/>
      <c r="K110" s="48"/>
      <c r="L110" s="14"/>
      <c r="M110" s="49"/>
      <c r="N110" s="26">
        <f>ROUND(F110*H110,2)</f>
        <v>833608.16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64" ht="26.25" customHeight="1">
      <c r="A111" s="203" t="s">
        <v>276</v>
      </c>
      <c r="B111" s="192" t="s">
        <v>37</v>
      </c>
      <c r="C111" s="192" t="s">
        <v>277</v>
      </c>
      <c r="D111" s="193" t="s">
        <v>278</v>
      </c>
      <c r="E111" s="192" t="s">
        <v>44</v>
      </c>
      <c r="F111" s="194">
        <v>214</v>
      </c>
      <c r="G111" s="184">
        <v>80.97</v>
      </c>
      <c r="H111" s="204">
        <f>ROUND(G111*1.2423,2)</f>
        <v>100.59</v>
      </c>
      <c r="I111" s="205">
        <f>ROUND(H111*F111,2)</f>
        <v>21526.26</v>
      </c>
      <c r="J111" s="7"/>
      <c r="K111" s="48"/>
      <c r="L111" s="14"/>
      <c r="M111" s="49"/>
      <c r="N111" s="26">
        <f>ROUND(F111*H111,2)</f>
        <v>21526.26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64" ht="24.75" customHeight="1">
      <c r="A112" s="200"/>
      <c r="B112" s="200"/>
      <c r="C112" s="200"/>
      <c r="D112" s="200"/>
      <c r="E112" s="200"/>
      <c r="F112" s="200"/>
      <c r="G112" s="200"/>
      <c r="H112" s="200"/>
      <c r="I112" s="200"/>
      <c r="J112" s="23"/>
      <c r="K112" s="53"/>
      <c r="L112" s="47"/>
      <c r="M112" s="54"/>
      <c r="N112" s="26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ht="20.25" customHeight="1">
      <c r="A113" s="176" t="s">
        <v>279</v>
      </c>
      <c r="B113" s="177" t="s">
        <v>280</v>
      </c>
      <c r="C113" s="177"/>
      <c r="D113" s="177"/>
      <c r="E113" s="177"/>
      <c r="F113" s="177"/>
      <c r="G113" s="177"/>
      <c r="H113" s="177"/>
      <c r="I113" s="178">
        <f>SUM(I114:I124)</f>
        <v>937818.84999999986</v>
      </c>
      <c r="J113" s="23"/>
      <c r="K113" s="48"/>
      <c r="L113" s="14"/>
      <c r="M113" s="32">
        <f>I113</f>
        <v>937818.84999999986</v>
      </c>
      <c r="N113" s="26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ht="35.25" customHeight="1">
      <c r="A114" s="203" t="s">
        <v>281</v>
      </c>
      <c r="B114" s="192" t="s">
        <v>37</v>
      </c>
      <c r="C114" s="192" t="s">
        <v>282</v>
      </c>
      <c r="D114" s="193" t="s">
        <v>283</v>
      </c>
      <c r="E114" s="192" t="s">
        <v>44</v>
      </c>
      <c r="F114" s="183">
        <v>10</v>
      </c>
      <c r="G114" s="184">
        <v>1586.51</v>
      </c>
      <c r="H114" s="201">
        <f t="shared" ref="H114:H124" si="15">ROUND(G114*1.2423,2)</f>
        <v>1970.92</v>
      </c>
      <c r="I114" s="202">
        <f t="shared" ref="I114:I124" si="16">ROUND(H114*F114,2)</f>
        <v>19709.2</v>
      </c>
      <c r="K114" s="52"/>
      <c r="L114" s="14"/>
      <c r="M114" s="49"/>
      <c r="N114" s="26">
        <f t="shared" ref="N114:N124" si="17">ROUND(F114*H114,2)</f>
        <v>19709.2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ht="35.25" customHeight="1">
      <c r="A115" s="203" t="s">
        <v>284</v>
      </c>
      <c r="B115" s="192" t="s">
        <v>20</v>
      </c>
      <c r="C115" s="192" t="s">
        <v>285</v>
      </c>
      <c r="D115" s="193" t="s">
        <v>286</v>
      </c>
      <c r="E115" s="192" t="s">
        <v>44</v>
      </c>
      <c r="F115" s="183">
        <v>5</v>
      </c>
      <c r="G115" s="184">
        <v>3972.27</v>
      </c>
      <c r="H115" s="201">
        <f t="shared" si="15"/>
        <v>4934.75</v>
      </c>
      <c r="I115" s="202">
        <f t="shared" si="16"/>
        <v>24673.75</v>
      </c>
      <c r="K115" s="52"/>
      <c r="L115" s="14"/>
      <c r="M115" s="49"/>
      <c r="N115" s="26">
        <f t="shared" si="17"/>
        <v>24673.75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</row>
    <row r="116" spans="1:64" ht="31.5" customHeight="1">
      <c r="A116" s="203" t="s">
        <v>287</v>
      </c>
      <c r="B116" s="192" t="s">
        <v>37</v>
      </c>
      <c r="C116" s="192" t="s">
        <v>288</v>
      </c>
      <c r="D116" s="193" t="s">
        <v>289</v>
      </c>
      <c r="E116" s="192" t="s">
        <v>61</v>
      </c>
      <c r="F116" s="183">
        <v>8145</v>
      </c>
      <c r="G116" s="184">
        <v>16.21</v>
      </c>
      <c r="H116" s="201">
        <f t="shared" si="15"/>
        <v>20.14</v>
      </c>
      <c r="I116" s="202">
        <f t="shared" si="16"/>
        <v>164040.29999999999</v>
      </c>
      <c r="K116" s="52"/>
      <c r="L116" s="14"/>
      <c r="M116" s="49"/>
      <c r="N116" s="26">
        <f t="shared" si="17"/>
        <v>164040.29999999999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</row>
    <row r="117" spans="1:64" ht="58.5" customHeight="1">
      <c r="A117" s="203" t="s">
        <v>290</v>
      </c>
      <c r="B117" s="192" t="s">
        <v>30</v>
      </c>
      <c r="C117" s="192" t="s">
        <v>291</v>
      </c>
      <c r="D117" s="193" t="s">
        <v>292</v>
      </c>
      <c r="E117" s="192" t="s">
        <v>44</v>
      </c>
      <c r="F117" s="183">
        <v>135</v>
      </c>
      <c r="G117" s="184">
        <v>213.41</v>
      </c>
      <c r="H117" s="201">
        <f t="shared" si="15"/>
        <v>265.12</v>
      </c>
      <c r="I117" s="202">
        <f t="shared" si="16"/>
        <v>35791.199999999997</v>
      </c>
      <c r="K117" s="52"/>
      <c r="L117" s="14"/>
      <c r="M117" s="49"/>
      <c r="N117" s="26">
        <f t="shared" si="17"/>
        <v>35791.199999999997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</row>
    <row r="118" spans="1:64" ht="36.75" customHeight="1">
      <c r="A118" s="203" t="s">
        <v>293</v>
      </c>
      <c r="B118" s="192" t="s">
        <v>37</v>
      </c>
      <c r="C118" s="192" t="s">
        <v>294</v>
      </c>
      <c r="D118" s="193" t="s">
        <v>295</v>
      </c>
      <c r="E118" s="192" t="s">
        <v>61</v>
      </c>
      <c r="F118" s="183">
        <v>2685</v>
      </c>
      <c r="G118" s="184">
        <v>17.559999999999999</v>
      </c>
      <c r="H118" s="201">
        <f t="shared" si="15"/>
        <v>21.81</v>
      </c>
      <c r="I118" s="202">
        <f t="shared" si="16"/>
        <v>58559.85</v>
      </c>
      <c r="K118" s="52"/>
      <c r="L118" s="14"/>
      <c r="M118" s="49"/>
      <c r="N118" s="26">
        <f t="shared" si="17"/>
        <v>58559.85</v>
      </c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64" ht="32.25" customHeight="1">
      <c r="A119" s="203" t="s">
        <v>296</v>
      </c>
      <c r="B119" s="192" t="s">
        <v>37</v>
      </c>
      <c r="C119" s="192" t="s">
        <v>297</v>
      </c>
      <c r="D119" s="193" t="s">
        <v>298</v>
      </c>
      <c r="E119" s="192" t="s">
        <v>61</v>
      </c>
      <c r="F119" s="183">
        <v>1485</v>
      </c>
      <c r="G119" s="184">
        <v>39.64</v>
      </c>
      <c r="H119" s="201">
        <f t="shared" si="15"/>
        <v>49.24</v>
      </c>
      <c r="I119" s="202">
        <f t="shared" si="16"/>
        <v>73121.399999999994</v>
      </c>
      <c r="K119" s="52"/>
      <c r="L119" s="14"/>
      <c r="M119" s="49"/>
      <c r="N119" s="26">
        <f t="shared" si="17"/>
        <v>73121.399999999994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</row>
    <row r="120" spans="1:64" ht="26.25" customHeight="1">
      <c r="A120" s="203" t="s">
        <v>299</v>
      </c>
      <c r="B120" s="192" t="s">
        <v>37</v>
      </c>
      <c r="C120" s="192" t="s">
        <v>300</v>
      </c>
      <c r="D120" s="193" t="s">
        <v>301</v>
      </c>
      <c r="E120" s="192" t="s">
        <v>44</v>
      </c>
      <c r="F120" s="183">
        <v>135</v>
      </c>
      <c r="G120" s="184">
        <v>2954.83</v>
      </c>
      <c r="H120" s="201">
        <f t="shared" si="15"/>
        <v>3670.79</v>
      </c>
      <c r="I120" s="202">
        <f t="shared" si="16"/>
        <v>495556.65</v>
      </c>
      <c r="K120" s="52"/>
      <c r="L120" s="14"/>
      <c r="M120" s="49"/>
      <c r="N120" s="26">
        <f t="shared" si="17"/>
        <v>495556.65</v>
      </c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</row>
    <row r="121" spans="1:64" ht="32.25" customHeight="1">
      <c r="A121" s="203" t="s">
        <v>302</v>
      </c>
      <c r="B121" s="192" t="s">
        <v>37</v>
      </c>
      <c r="C121" s="192" t="s">
        <v>303</v>
      </c>
      <c r="D121" s="193" t="s">
        <v>304</v>
      </c>
      <c r="E121" s="192" t="s">
        <v>44</v>
      </c>
      <c r="F121" s="183">
        <v>80</v>
      </c>
      <c r="G121" s="184">
        <v>143.04</v>
      </c>
      <c r="H121" s="201">
        <f t="shared" si="15"/>
        <v>177.7</v>
      </c>
      <c r="I121" s="202">
        <f t="shared" si="16"/>
        <v>14216</v>
      </c>
      <c r="K121" s="52"/>
      <c r="L121" s="14"/>
      <c r="M121" s="49"/>
      <c r="N121" s="26">
        <f t="shared" si="17"/>
        <v>14216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</row>
    <row r="122" spans="1:64" ht="38.25" customHeight="1">
      <c r="A122" s="203" t="s">
        <v>305</v>
      </c>
      <c r="B122" s="192" t="s">
        <v>20</v>
      </c>
      <c r="C122" s="192" t="s">
        <v>306</v>
      </c>
      <c r="D122" s="193" t="s">
        <v>307</v>
      </c>
      <c r="E122" s="192" t="s">
        <v>61</v>
      </c>
      <c r="F122" s="183">
        <v>1485</v>
      </c>
      <c r="G122" s="184">
        <v>6.94</v>
      </c>
      <c r="H122" s="201">
        <f t="shared" si="15"/>
        <v>8.6199999999999992</v>
      </c>
      <c r="I122" s="202">
        <f t="shared" si="16"/>
        <v>12800.7</v>
      </c>
      <c r="K122" s="52"/>
      <c r="L122" s="14"/>
      <c r="M122" s="49"/>
      <c r="N122" s="26">
        <f t="shared" si="17"/>
        <v>12800.7</v>
      </c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</row>
    <row r="123" spans="1:64" ht="24.75" customHeight="1">
      <c r="A123" s="203" t="s">
        <v>308</v>
      </c>
      <c r="B123" s="192" t="s">
        <v>37</v>
      </c>
      <c r="C123" s="192" t="s">
        <v>309</v>
      </c>
      <c r="D123" s="193" t="s">
        <v>310</v>
      </c>
      <c r="E123" s="192" t="s">
        <v>44</v>
      </c>
      <c r="F123" s="183">
        <v>135</v>
      </c>
      <c r="G123" s="184">
        <v>209.5</v>
      </c>
      <c r="H123" s="201">
        <f t="shared" si="15"/>
        <v>260.26</v>
      </c>
      <c r="I123" s="202">
        <f t="shared" si="16"/>
        <v>35135.1</v>
      </c>
      <c r="K123" s="52"/>
      <c r="L123" s="14"/>
      <c r="M123" s="49"/>
      <c r="N123" s="26">
        <f t="shared" si="17"/>
        <v>35135.1</v>
      </c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</row>
    <row r="124" spans="1:64" ht="22.5" customHeight="1">
      <c r="A124" s="203" t="s">
        <v>311</v>
      </c>
      <c r="B124" s="192" t="s">
        <v>37</v>
      </c>
      <c r="C124" s="192" t="s">
        <v>312</v>
      </c>
      <c r="D124" s="193" t="s">
        <v>313</v>
      </c>
      <c r="E124" s="192" t="s">
        <v>44</v>
      </c>
      <c r="F124" s="183">
        <v>135</v>
      </c>
      <c r="G124" s="184">
        <v>25.13</v>
      </c>
      <c r="H124" s="201">
        <f t="shared" si="15"/>
        <v>31.22</v>
      </c>
      <c r="I124" s="202">
        <f t="shared" si="16"/>
        <v>4214.7</v>
      </c>
      <c r="K124" s="52"/>
      <c r="L124" s="14"/>
      <c r="M124" s="49"/>
      <c r="N124" s="26">
        <f t="shared" si="17"/>
        <v>4214.7</v>
      </c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1:64" ht="24.75" customHeight="1">
      <c r="A125" s="200"/>
      <c r="B125" s="200"/>
      <c r="C125" s="200"/>
      <c r="D125" s="200"/>
      <c r="E125" s="200"/>
      <c r="F125" s="200"/>
      <c r="G125" s="200"/>
      <c r="H125" s="200"/>
      <c r="I125" s="200"/>
      <c r="J125" s="23"/>
      <c r="K125" s="53"/>
      <c r="L125" s="47"/>
      <c r="M125" s="54"/>
      <c r="N125" s="26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</row>
    <row r="126" spans="1:64" ht="24" customHeight="1">
      <c r="A126" s="176" t="s">
        <v>314</v>
      </c>
      <c r="B126" s="177" t="s">
        <v>315</v>
      </c>
      <c r="C126" s="177"/>
      <c r="D126" s="177"/>
      <c r="E126" s="177"/>
      <c r="F126" s="177"/>
      <c r="G126" s="177"/>
      <c r="H126" s="177"/>
      <c r="I126" s="178">
        <f>SUM(I127:I135)</f>
        <v>881342.20000000007</v>
      </c>
      <c r="J126" s="23"/>
      <c r="K126" s="48"/>
      <c r="L126" s="14"/>
      <c r="M126" s="32">
        <f>I126</f>
        <v>881342.20000000007</v>
      </c>
      <c r="N126" s="26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</row>
    <row r="127" spans="1:64" ht="36" customHeight="1">
      <c r="A127" s="203" t="s">
        <v>316</v>
      </c>
      <c r="B127" s="192" t="s">
        <v>37</v>
      </c>
      <c r="C127" s="192" t="s">
        <v>317</v>
      </c>
      <c r="D127" s="193" t="s">
        <v>318</v>
      </c>
      <c r="E127" s="192" t="s">
        <v>319</v>
      </c>
      <c r="F127" s="183">
        <v>2160</v>
      </c>
      <c r="G127" s="206">
        <v>6.92</v>
      </c>
      <c r="H127" s="201">
        <f t="shared" ref="H127:H135" si="18">ROUND(G127*1.2423,2)</f>
        <v>8.6</v>
      </c>
      <c r="I127" s="202">
        <f t="shared" ref="I127:I135" si="19">ROUND(H127*F127,2)</f>
        <v>18576</v>
      </c>
      <c r="K127" s="52"/>
      <c r="L127" s="14"/>
      <c r="M127" s="49"/>
      <c r="N127" s="26">
        <f t="shared" ref="N127:N135" si="20">ROUND(F127*H127,2)</f>
        <v>18576</v>
      </c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</row>
    <row r="128" spans="1:64" ht="30.75" customHeight="1">
      <c r="A128" s="203" t="s">
        <v>320</v>
      </c>
      <c r="B128" s="188" t="s">
        <v>37</v>
      </c>
      <c r="C128" s="188" t="s">
        <v>219</v>
      </c>
      <c r="D128" s="189" t="s">
        <v>220</v>
      </c>
      <c r="E128" s="188" t="s">
        <v>23</v>
      </c>
      <c r="F128" s="183">
        <v>405.45</v>
      </c>
      <c r="G128" s="190">
        <v>100.74</v>
      </c>
      <c r="H128" s="201">
        <f t="shared" si="18"/>
        <v>125.15</v>
      </c>
      <c r="I128" s="202">
        <f t="shared" si="19"/>
        <v>50742.07</v>
      </c>
      <c r="J128" s="23"/>
      <c r="K128" s="27"/>
      <c r="L128" s="14"/>
      <c r="M128" s="49"/>
      <c r="N128" s="26">
        <f t="shared" si="20"/>
        <v>50742.07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</row>
    <row r="129" spans="1:64" ht="26.25" customHeight="1">
      <c r="A129" s="203" t="s">
        <v>321</v>
      </c>
      <c r="B129" s="188" t="s">
        <v>37</v>
      </c>
      <c r="C129" s="188" t="s">
        <v>185</v>
      </c>
      <c r="D129" s="189" t="s">
        <v>186</v>
      </c>
      <c r="E129" s="188" t="s">
        <v>139</v>
      </c>
      <c r="F129" s="183">
        <v>199.63</v>
      </c>
      <c r="G129" s="190">
        <v>218.09</v>
      </c>
      <c r="H129" s="201">
        <f t="shared" si="18"/>
        <v>270.93</v>
      </c>
      <c r="I129" s="202">
        <f t="shared" si="19"/>
        <v>54085.760000000002</v>
      </c>
      <c r="J129" s="23"/>
      <c r="K129" s="27"/>
      <c r="L129" s="14"/>
      <c r="M129" s="49"/>
      <c r="N129" s="26">
        <f t="shared" si="20"/>
        <v>54085.760000000002</v>
      </c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</row>
    <row r="130" spans="1:64" ht="26.25" customHeight="1">
      <c r="A130" s="203" t="s">
        <v>322</v>
      </c>
      <c r="B130" s="188" t="s">
        <v>37</v>
      </c>
      <c r="C130" s="188" t="s">
        <v>323</v>
      </c>
      <c r="D130" s="189" t="s">
        <v>324</v>
      </c>
      <c r="E130" s="188" t="s">
        <v>139</v>
      </c>
      <c r="F130" s="183">
        <v>933.16</v>
      </c>
      <c r="G130" s="190">
        <v>547.52</v>
      </c>
      <c r="H130" s="201">
        <f t="shared" si="18"/>
        <v>680.18</v>
      </c>
      <c r="I130" s="202">
        <f t="shared" si="19"/>
        <v>634716.77</v>
      </c>
      <c r="J130" s="23"/>
      <c r="K130" s="27"/>
      <c r="L130" s="14"/>
      <c r="M130" s="49"/>
      <c r="N130" s="26">
        <f t="shared" si="20"/>
        <v>634716.77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</row>
    <row r="131" spans="1:64" ht="27" customHeight="1">
      <c r="A131" s="203" t="s">
        <v>325</v>
      </c>
      <c r="B131" s="188" t="s">
        <v>118</v>
      </c>
      <c r="C131" s="188" t="s">
        <v>87</v>
      </c>
      <c r="D131" s="189" t="s">
        <v>326</v>
      </c>
      <c r="E131" s="188" t="s">
        <v>327</v>
      </c>
      <c r="F131" s="183">
        <v>52</v>
      </c>
      <c r="G131" s="190">
        <f>Composições!G11</f>
        <v>335.20319999999998</v>
      </c>
      <c r="H131" s="201">
        <f t="shared" si="18"/>
        <v>416.42</v>
      </c>
      <c r="I131" s="202">
        <f t="shared" si="19"/>
        <v>21653.84</v>
      </c>
      <c r="J131" s="23"/>
      <c r="K131" s="27"/>
      <c r="L131" s="14"/>
      <c r="M131" s="49"/>
      <c r="N131" s="26">
        <f t="shared" si="20"/>
        <v>21653.84</v>
      </c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</row>
    <row r="132" spans="1:64" ht="43.5" customHeight="1">
      <c r="A132" s="203" t="s">
        <v>328</v>
      </c>
      <c r="B132" s="188" t="s">
        <v>118</v>
      </c>
      <c r="C132" s="188" t="s">
        <v>115</v>
      </c>
      <c r="D132" s="189" t="s">
        <v>329</v>
      </c>
      <c r="E132" s="188" t="s">
        <v>183</v>
      </c>
      <c r="F132" s="183">
        <v>126.7</v>
      </c>
      <c r="G132" s="190">
        <f>Composições!G16</f>
        <v>335.20319999999998</v>
      </c>
      <c r="H132" s="201">
        <f t="shared" si="18"/>
        <v>416.42</v>
      </c>
      <c r="I132" s="202">
        <f t="shared" si="19"/>
        <v>52760.41</v>
      </c>
      <c r="J132" s="23"/>
      <c r="K132" s="27"/>
      <c r="L132" s="14"/>
      <c r="M132" s="49"/>
      <c r="N132" s="26">
        <f t="shared" si="20"/>
        <v>52760.41</v>
      </c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</row>
    <row r="133" spans="1:64" ht="36" customHeight="1">
      <c r="A133" s="203" t="s">
        <v>330</v>
      </c>
      <c r="B133" s="188" t="s">
        <v>118</v>
      </c>
      <c r="C133" s="188" t="s">
        <v>128</v>
      </c>
      <c r="D133" s="189" t="s">
        <v>331</v>
      </c>
      <c r="E133" s="188" t="s">
        <v>332</v>
      </c>
      <c r="F133" s="183">
        <v>52</v>
      </c>
      <c r="G133" s="184">
        <f>Composições!G21</f>
        <v>474.87120000000004</v>
      </c>
      <c r="H133" s="201">
        <f t="shared" si="18"/>
        <v>589.92999999999995</v>
      </c>
      <c r="I133" s="202">
        <f t="shared" si="19"/>
        <v>30676.36</v>
      </c>
      <c r="J133" s="23"/>
      <c r="K133" s="24"/>
      <c r="L133" s="14"/>
      <c r="M133" s="49"/>
      <c r="N133" s="26">
        <f t="shared" si="20"/>
        <v>30676.36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</row>
    <row r="134" spans="1:64" ht="36" customHeight="1">
      <c r="A134" s="203" t="s">
        <v>333</v>
      </c>
      <c r="B134" s="188" t="s">
        <v>30</v>
      </c>
      <c r="C134" s="188" t="s">
        <v>334</v>
      </c>
      <c r="D134" s="189" t="s">
        <v>335</v>
      </c>
      <c r="E134" s="188" t="s">
        <v>44</v>
      </c>
      <c r="F134" s="183">
        <v>128</v>
      </c>
      <c r="G134" s="184">
        <v>30.17</v>
      </c>
      <c r="H134" s="201">
        <f t="shared" si="18"/>
        <v>37.479999999999997</v>
      </c>
      <c r="I134" s="202">
        <f t="shared" si="19"/>
        <v>4797.4399999999996</v>
      </c>
      <c r="J134" s="23"/>
      <c r="K134" s="24"/>
      <c r="L134" s="14"/>
      <c r="M134" s="49"/>
      <c r="N134" s="26">
        <f t="shared" si="20"/>
        <v>4797.4399999999996</v>
      </c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</row>
    <row r="135" spans="1:64" ht="39" customHeight="1">
      <c r="A135" s="203" t="s">
        <v>336</v>
      </c>
      <c r="B135" s="188" t="s">
        <v>37</v>
      </c>
      <c r="C135" s="188" t="s">
        <v>337</v>
      </c>
      <c r="D135" s="189" t="s">
        <v>338</v>
      </c>
      <c r="E135" s="188" t="s">
        <v>139</v>
      </c>
      <c r="F135" s="183">
        <v>804.68</v>
      </c>
      <c r="G135" s="184">
        <v>13.34</v>
      </c>
      <c r="H135" s="201">
        <f t="shared" si="18"/>
        <v>16.57</v>
      </c>
      <c r="I135" s="202">
        <f t="shared" si="19"/>
        <v>13333.55</v>
      </c>
      <c r="J135" s="23"/>
      <c r="K135" s="24"/>
      <c r="L135" s="14"/>
      <c r="M135" s="49"/>
      <c r="N135" s="26">
        <f t="shared" si="20"/>
        <v>13333.55</v>
      </c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</row>
    <row r="136" spans="1:64" ht="24.75" customHeight="1">
      <c r="A136" s="200"/>
      <c r="B136" s="200"/>
      <c r="C136" s="200"/>
      <c r="D136" s="200"/>
      <c r="E136" s="200"/>
      <c r="F136" s="200"/>
      <c r="G136" s="200"/>
      <c r="H136" s="200"/>
      <c r="I136" s="200"/>
      <c r="J136" s="23"/>
      <c r="K136" s="53"/>
      <c r="L136" s="47"/>
      <c r="M136" s="54"/>
      <c r="N136" s="26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</row>
    <row r="137" spans="1:64" ht="27" customHeight="1">
      <c r="A137" s="176" t="s">
        <v>339</v>
      </c>
      <c r="B137" s="177" t="s">
        <v>340</v>
      </c>
      <c r="C137" s="177"/>
      <c r="D137" s="177"/>
      <c r="E137" s="177"/>
      <c r="F137" s="177"/>
      <c r="G137" s="177"/>
      <c r="H137" s="177"/>
      <c r="I137" s="178">
        <f>SUM(I138:I141)</f>
        <v>2864470.5600000005</v>
      </c>
      <c r="J137" s="7"/>
      <c r="K137" s="42"/>
      <c r="L137" s="14"/>
      <c r="M137" s="32">
        <f>I137</f>
        <v>2864470.5600000005</v>
      </c>
      <c r="N137" s="26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</row>
    <row r="138" spans="1:64" ht="36" customHeight="1">
      <c r="A138" s="203" t="s">
        <v>341</v>
      </c>
      <c r="B138" s="192" t="s">
        <v>37</v>
      </c>
      <c r="C138" s="192" t="s">
        <v>317</v>
      </c>
      <c r="D138" s="193" t="s">
        <v>318</v>
      </c>
      <c r="E138" s="192" t="s">
        <v>319</v>
      </c>
      <c r="F138" s="183">
        <v>3500</v>
      </c>
      <c r="G138" s="206">
        <v>6.92</v>
      </c>
      <c r="H138" s="201">
        <f>ROUND(G138*1.2423,2)</f>
        <v>8.6</v>
      </c>
      <c r="I138" s="202">
        <f>ROUND(H138*F138,2)</f>
        <v>30100</v>
      </c>
      <c r="K138" s="52"/>
      <c r="L138" s="14"/>
      <c r="M138" s="49"/>
      <c r="N138" s="26">
        <f>ROUND(F138*H138,2)</f>
        <v>30100</v>
      </c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</row>
    <row r="139" spans="1:64" ht="86.25" customHeight="1">
      <c r="A139" s="203" t="s">
        <v>342</v>
      </c>
      <c r="B139" s="192" t="s">
        <v>30</v>
      </c>
      <c r="C139" s="192" t="s">
        <v>343</v>
      </c>
      <c r="D139" s="193" t="s">
        <v>344</v>
      </c>
      <c r="E139" s="192" t="s">
        <v>23</v>
      </c>
      <c r="F139" s="183">
        <v>10316.379999999999</v>
      </c>
      <c r="G139" s="206">
        <v>109.39</v>
      </c>
      <c r="H139" s="201">
        <f>ROUND(G139*1.2423,2)</f>
        <v>135.9</v>
      </c>
      <c r="I139" s="202">
        <f>ROUND(H139*F139,2)</f>
        <v>1401996.04</v>
      </c>
      <c r="K139" s="33"/>
      <c r="L139" s="14"/>
      <c r="M139" s="49"/>
      <c r="N139" s="26">
        <f>ROUND(F139*H139,2)</f>
        <v>1401996.04</v>
      </c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</row>
    <row r="140" spans="1:64" ht="48.75" customHeight="1">
      <c r="A140" s="203" t="s">
        <v>345</v>
      </c>
      <c r="B140" s="192" t="s">
        <v>112</v>
      </c>
      <c r="C140" s="192" t="s">
        <v>346</v>
      </c>
      <c r="D140" s="193" t="s">
        <v>347</v>
      </c>
      <c r="E140" s="192" t="s">
        <v>139</v>
      </c>
      <c r="F140" s="183">
        <v>722.13999999999987</v>
      </c>
      <c r="G140" s="206">
        <v>943.23</v>
      </c>
      <c r="H140" s="201">
        <f>ROUND(G140*1.2423,2)</f>
        <v>1171.77</v>
      </c>
      <c r="I140" s="202">
        <f>ROUND(H140*F140,2)</f>
        <v>846181.99</v>
      </c>
      <c r="K140" s="33"/>
      <c r="L140" s="14"/>
      <c r="M140" s="49"/>
      <c r="N140" s="26">
        <f>ROUND(F140*H140,2)</f>
        <v>846181.99</v>
      </c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</row>
    <row r="141" spans="1:64" ht="74.25" customHeight="1">
      <c r="A141" s="203" t="s">
        <v>348</v>
      </c>
      <c r="B141" s="192" t="s">
        <v>30</v>
      </c>
      <c r="C141" s="192" t="s">
        <v>349</v>
      </c>
      <c r="D141" s="193" t="s">
        <v>350</v>
      </c>
      <c r="E141" s="192" t="s">
        <v>61</v>
      </c>
      <c r="F141" s="183">
        <v>2170.36</v>
      </c>
      <c r="G141" s="206">
        <v>217.41</v>
      </c>
      <c r="H141" s="201">
        <f>ROUND(G141*1.2423,2)</f>
        <v>270.08999999999997</v>
      </c>
      <c r="I141" s="202">
        <f>ROUND(H141*F141,2)</f>
        <v>586192.53</v>
      </c>
      <c r="K141" s="33"/>
      <c r="L141" s="14"/>
      <c r="M141" s="49"/>
      <c r="N141" s="26">
        <f>ROUND(F141*H141,2)</f>
        <v>586192.53</v>
      </c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</row>
    <row r="142" spans="1:64" ht="25.5" customHeight="1">
      <c r="A142" s="200"/>
      <c r="B142" s="200"/>
      <c r="C142" s="200"/>
      <c r="D142" s="200"/>
      <c r="E142" s="200"/>
      <c r="F142" s="200"/>
      <c r="G142" s="200"/>
      <c r="H142" s="200"/>
      <c r="I142" s="200"/>
      <c r="J142" s="23"/>
      <c r="K142" s="53"/>
      <c r="L142" s="47"/>
      <c r="M142" s="54"/>
      <c r="N142" s="26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</row>
    <row r="143" spans="1:64" ht="27.75" customHeight="1">
      <c r="A143" s="176" t="s">
        <v>351</v>
      </c>
      <c r="B143" s="177" t="s">
        <v>352</v>
      </c>
      <c r="C143" s="177"/>
      <c r="D143" s="177"/>
      <c r="E143" s="177"/>
      <c r="F143" s="177"/>
      <c r="G143" s="177"/>
      <c r="H143" s="177"/>
      <c r="I143" s="178">
        <f>SUM(I144:I146)</f>
        <v>651146.35</v>
      </c>
      <c r="J143" s="7"/>
      <c r="K143" s="42"/>
      <c r="L143" s="14"/>
      <c r="M143" s="32">
        <f>I143</f>
        <v>651146.35</v>
      </c>
      <c r="N143" s="26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</row>
    <row r="144" spans="1:64" ht="46.5" customHeight="1">
      <c r="A144" s="203" t="s">
        <v>353</v>
      </c>
      <c r="B144" s="188" t="s">
        <v>37</v>
      </c>
      <c r="C144" s="188" t="s">
        <v>354</v>
      </c>
      <c r="D144" s="189" t="s">
        <v>355</v>
      </c>
      <c r="E144" s="188" t="s">
        <v>139</v>
      </c>
      <c r="F144" s="183">
        <v>37415.919999999998</v>
      </c>
      <c r="G144" s="206">
        <v>6.87</v>
      </c>
      <c r="H144" s="185">
        <f>ROUND(G144*1.2423,2)</f>
        <v>8.5299999999999994</v>
      </c>
      <c r="I144" s="186">
        <f>ROUND(H144*F144,2)</f>
        <v>319157.8</v>
      </c>
      <c r="J144" s="23"/>
      <c r="K144" s="42"/>
      <c r="L144" s="14"/>
      <c r="M144" s="49"/>
      <c r="N144" s="26">
        <f>ROUND(F144*H144,2)</f>
        <v>319157.8</v>
      </c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</row>
    <row r="145" spans="1:64" ht="35.25" customHeight="1">
      <c r="A145" s="203" t="s">
        <v>356</v>
      </c>
      <c r="B145" s="188" t="s">
        <v>30</v>
      </c>
      <c r="C145" s="188" t="s">
        <v>357</v>
      </c>
      <c r="D145" s="189" t="s">
        <v>358</v>
      </c>
      <c r="E145" s="188" t="s">
        <v>23</v>
      </c>
      <c r="F145" s="183">
        <v>19415.919999999998</v>
      </c>
      <c r="G145" s="199">
        <v>0.13</v>
      </c>
      <c r="H145" s="185">
        <f>ROUND(G145*1.2423,2)</f>
        <v>0.16</v>
      </c>
      <c r="I145" s="186">
        <f>ROUND(H145*F145,2)</f>
        <v>3106.55</v>
      </c>
      <c r="J145" s="23"/>
      <c r="K145" s="42"/>
      <c r="L145" s="14"/>
      <c r="M145" s="49"/>
      <c r="N145" s="26">
        <f>ROUND(F145*H145,2)</f>
        <v>3106.55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</row>
    <row r="146" spans="1:64" ht="30.75" customHeight="1">
      <c r="A146" s="203" t="s">
        <v>359</v>
      </c>
      <c r="B146" s="188" t="s">
        <v>30</v>
      </c>
      <c r="C146" s="188" t="s">
        <v>360</v>
      </c>
      <c r="D146" s="189" t="s">
        <v>361</v>
      </c>
      <c r="E146" s="188" t="s">
        <v>23</v>
      </c>
      <c r="F146" s="183">
        <v>12707.96</v>
      </c>
      <c r="G146" s="206">
        <v>20.83</v>
      </c>
      <c r="H146" s="185">
        <f>ROUND(G146*1.2423,2)</f>
        <v>25.88</v>
      </c>
      <c r="I146" s="186">
        <f>ROUND(H146*F146,2)</f>
        <v>328882</v>
      </c>
      <c r="J146" s="23"/>
      <c r="K146" s="42"/>
      <c r="L146" s="14"/>
      <c r="M146" s="49"/>
      <c r="N146" s="26">
        <f>ROUND(F146*H146,2)</f>
        <v>328882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</row>
    <row r="147" spans="1:64" ht="23.25" customHeight="1">
      <c r="A147" s="200"/>
      <c r="B147" s="200"/>
      <c r="C147" s="200"/>
      <c r="D147" s="200"/>
      <c r="E147" s="200"/>
      <c r="F147" s="200"/>
      <c r="G147" s="200"/>
      <c r="H147" s="200"/>
      <c r="I147" s="200"/>
      <c r="J147" s="23"/>
      <c r="K147" s="55"/>
      <c r="L147" s="47"/>
      <c r="M147" s="54"/>
      <c r="N147" s="3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</row>
    <row r="148" spans="1:64" ht="24" customHeight="1">
      <c r="A148" s="176" t="s">
        <v>362</v>
      </c>
      <c r="B148" s="177" t="s">
        <v>363</v>
      </c>
      <c r="C148" s="177"/>
      <c r="D148" s="177"/>
      <c r="E148" s="177"/>
      <c r="F148" s="177"/>
      <c r="G148" s="177"/>
      <c r="H148" s="177"/>
      <c r="I148" s="178">
        <f>SUM(I149,I162,I169,I174,I184,I186)</f>
        <v>4709799.3699999992</v>
      </c>
      <c r="J148" s="23"/>
      <c r="K148" s="42"/>
      <c r="L148" s="14"/>
      <c r="M148" s="32">
        <f>I148</f>
        <v>4709799.3699999992</v>
      </c>
      <c r="N148" s="3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</row>
    <row r="149" spans="1:64" ht="24" customHeight="1">
      <c r="A149" s="176" t="s">
        <v>364</v>
      </c>
      <c r="B149" s="177" t="s">
        <v>365</v>
      </c>
      <c r="C149" s="177"/>
      <c r="D149" s="177"/>
      <c r="E149" s="177"/>
      <c r="F149" s="177"/>
      <c r="G149" s="177"/>
      <c r="H149" s="177"/>
      <c r="I149" s="178">
        <f>SUM(I150:I161)</f>
        <v>1434297.3199999998</v>
      </c>
      <c r="J149" s="23"/>
      <c r="K149" s="42"/>
      <c r="L149" s="14"/>
      <c r="M149" s="49"/>
      <c r="N149" s="26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</row>
    <row r="150" spans="1:64" ht="24.75" customHeight="1">
      <c r="A150" s="191" t="s">
        <v>366</v>
      </c>
      <c r="B150" s="188" t="s">
        <v>37</v>
      </c>
      <c r="C150" s="188" t="s">
        <v>367</v>
      </c>
      <c r="D150" s="189" t="s">
        <v>368</v>
      </c>
      <c r="E150" s="188" t="s">
        <v>23</v>
      </c>
      <c r="F150" s="183">
        <v>351.9</v>
      </c>
      <c r="G150" s="190">
        <v>16.84</v>
      </c>
      <c r="H150" s="185">
        <f t="shared" ref="H150:H161" si="21">ROUND(G150*1.2423,2)</f>
        <v>20.92</v>
      </c>
      <c r="I150" s="186">
        <f t="shared" ref="I150:I161" si="22">ROUND(H150*F150,2)</f>
        <v>7361.75</v>
      </c>
      <c r="J150" s="23"/>
      <c r="K150" s="42"/>
      <c r="L150" s="14"/>
      <c r="M150" s="49"/>
      <c r="N150" s="26">
        <f t="shared" ref="N150:N161" si="23">ROUND(F150*H150,2)</f>
        <v>7361.75</v>
      </c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</row>
    <row r="151" spans="1:64" ht="44.25" customHeight="1">
      <c r="A151" s="191" t="s">
        <v>369</v>
      </c>
      <c r="B151" s="188" t="s">
        <v>37</v>
      </c>
      <c r="C151" s="188" t="s">
        <v>370</v>
      </c>
      <c r="D151" s="189" t="s">
        <v>371</v>
      </c>
      <c r="E151" s="188" t="s">
        <v>71</v>
      </c>
      <c r="F151" s="183">
        <v>2</v>
      </c>
      <c r="G151" s="190">
        <v>24029.200000000001</v>
      </c>
      <c r="H151" s="185">
        <f t="shared" si="21"/>
        <v>29851.48</v>
      </c>
      <c r="I151" s="186">
        <f t="shared" si="22"/>
        <v>59702.96</v>
      </c>
      <c r="J151" s="23"/>
      <c r="K151" s="42"/>
      <c r="L151" s="14"/>
      <c r="M151" s="49"/>
      <c r="N151" s="26">
        <f t="shared" si="23"/>
        <v>59702.96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</row>
    <row r="152" spans="1:64" ht="51.75" customHeight="1">
      <c r="A152" s="191" t="s">
        <v>372</v>
      </c>
      <c r="B152" s="188" t="s">
        <v>37</v>
      </c>
      <c r="C152" s="188" t="s">
        <v>373</v>
      </c>
      <c r="D152" s="189" t="s">
        <v>374</v>
      </c>
      <c r="E152" s="188" t="s">
        <v>71</v>
      </c>
      <c r="F152" s="183">
        <v>2</v>
      </c>
      <c r="G152" s="190">
        <v>20862.55</v>
      </c>
      <c r="H152" s="185">
        <f t="shared" si="21"/>
        <v>25917.55</v>
      </c>
      <c r="I152" s="186">
        <f t="shared" si="22"/>
        <v>51835.1</v>
      </c>
      <c r="J152" s="23"/>
      <c r="K152" s="42"/>
      <c r="L152" s="14"/>
      <c r="M152" s="49"/>
      <c r="N152" s="26">
        <f t="shared" si="23"/>
        <v>51835.1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</row>
    <row r="153" spans="1:64" ht="28.5" customHeight="1">
      <c r="A153" s="191" t="s">
        <v>375</v>
      </c>
      <c r="B153" s="188" t="s">
        <v>37</v>
      </c>
      <c r="C153" s="188" t="s">
        <v>376</v>
      </c>
      <c r="D153" s="189" t="s">
        <v>377</v>
      </c>
      <c r="E153" s="188" t="s">
        <v>61</v>
      </c>
      <c r="F153" s="183">
        <v>1032</v>
      </c>
      <c r="G153" s="190">
        <v>228.8</v>
      </c>
      <c r="H153" s="185">
        <f t="shared" si="21"/>
        <v>284.24</v>
      </c>
      <c r="I153" s="186">
        <f t="shared" si="22"/>
        <v>293335.67999999999</v>
      </c>
      <c r="J153" s="23"/>
      <c r="K153" s="42"/>
      <c r="L153" s="14"/>
      <c r="M153" s="49"/>
      <c r="N153" s="26">
        <f t="shared" si="23"/>
        <v>293335.67999999999</v>
      </c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</row>
    <row r="154" spans="1:64" ht="32.25" customHeight="1">
      <c r="A154" s="191" t="s">
        <v>378</v>
      </c>
      <c r="B154" s="188" t="s">
        <v>20</v>
      </c>
      <c r="C154" s="188" t="s">
        <v>379</v>
      </c>
      <c r="D154" s="189" t="s">
        <v>380</v>
      </c>
      <c r="E154" s="188" t="s">
        <v>61</v>
      </c>
      <c r="F154" s="183">
        <v>860</v>
      </c>
      <c r="G154" s="190">
        <v>436.5</v>
      </c>
      <c r="H154" s="185">
        <f t="shared" si="21"/>
        <v>542.26</v>
      </c>
      <c r="I154" s="186">
        <f t="shared" si="22"/>
        <v>466343.6</v>
      </c>
      <c r="J154" s="23"/>
      <c r="K154" s="42"/>
      <c r="L154" s="14"/>
      <c r="M154" s="49"/>
      <c r="N154" s="26">
        <f t="shared" si="23"/>
        <v>466343.6</v>
      </c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</row>
    <row r="155" spans="1:64" ht="27" customHeight="1">
      <c r="A155" s="191" t="s">
        <v>381</v>
      </c>
      <c r="B155" s="188" t="s">
        <v>37</v>
      </c>
      <c r="C155" s="188" t="s">
        <v>185</v>
      </c>
      <c r="D155" s="189" t="s">
        <v>186</v>
      </c>
      <c r="E155" s="188" t="s">
        <v>139</v>
      </c>
      <c r="F155" s="183">
        <v>20.7</v>
      </c>
      <c r="G155" s="190">
        <v>218.09</v>
      </c>
      <c r="H155" s="185">
        <f t="shared" si="21"/>
        <v>270.93</v>
      </c>
      <c r="I155" s="186">
        <f t="shared" si="22"/>
        <v>5608.25</v>
      </c>
      <c r="J155" s="23"/>
      <c r="K155" s="42"/>
      <c r="L155" s="14"/>
      <c r="M155" s="49"/>
      <c r="N155" s="26">
        <f t="shared" si="23"/>
        <v>5608.25</v>
      </c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</row>
    <row r="156" spans="1:64" ht="26.25" customHeight="1">
      <c r="A156" s="191" t="s">
        <v>382</v>
      </c>
      <c r="B156" s="188" t="s">
        <v>37</v>
      </c>
      <c r="C156" s="188" t="s">
        <v>383</v>
      </c>
      <c r="D156" s="189" t="s">
        <v>384</v>
      </c>
      <c r="E156" s="188" t="s">
        <v>139</v>
      </c>
      <c r="F156" s="183">
        <v>6.9</v>
      </c>
      <c r="G156" s="190">
        <v>187.88</v>
      </c>
      <c r="H156" s="185">
        <f t="shared" si="21"/>
        <v>233.4</v>
      </c>
      <c r="I156" s="186">
        <f t="shared" si="22"/>
        <v>1610.46</v>
      </c>
      <c r="J156" s="23"/>
      <c r="K156" s="42"/>
      <c r="L156" s="14"/>
      <c r="M156" s="49"/>
      <c r="N156" s="26">
        <f t="shared" si="23"/>
        <v>1610.46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</row>
    <row r="157" spans="1:64" ht="38.25" customHeight="1">
      <c r="A157" s="191" t="s">
        <v>385</v>
      </c>
      <c r="B157" s="188" t="s">
        <v>37</v>
      </c>
      <c r="C157" s="188" t="s">
        <v>386</v>
      </c>
      <c r="D157" s="189" t="s">
        <v>387</v>
      </c>
      <c r="E157" s="188" t="s">
        <v>139</v>
      </c>
      <c r="F157" s="183">
        <v>6.9</v>
      </c>
      <c r="G157" s="190">
        <v>493.5</v>
      </c>
      <c r="H157" s="185">
        <f t="shared" si="21"/>
        <v>613.08000000000004</v>
      </c>
      <c r="I157" s="186">
        <f t="shared" si="22"/>
        <v>4230.25</v>
      </c>
      <c r="J157" s="23"/>
      <c r="K157" s="42"/>
      <c r="L157" s="14"/>
      <c r="M157" s="49"/>
      <c r="N157" s="26">
        <f t="shared" si="23"/>
        <v>4230.25</v>
      </c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</row>
    <row r="158" spans="1:64" ht="26.25" customHeight="1">
      <c r="A158" s="191" t="s">
        <v>388</v>
      </c>
      <c r="B158" s="188" t="s">
        <v>37</v>
      </c>
      <c r="C158" s="188" t="s">
        <v>389</v>
      </c>
      <c r="D158" s="189" t="s">
        <v>390</v>
      </c>
      <c r="E158" s="188" t="s">
        <v>139</v>
      </c>
      <c r="F158" s="183">
        <v>81.88</v>
      </c>
      <c r="G158" s="190">
        <v>487.57</v>
      </c>
      <c r="H158" s="185">
        <f t="shared" si="21"/>
        <v>605.71</v>
      </c>
      <c r="I158" s="186">
        <f t="shared" si="22"/>
        <v>49595.53</v>
      </c>
      <c r="J158" s="23"/>
      <c r="K158" s="42"/>
      <c r="L158" s="14"/>
      <c r="M158" s="49"/>
      <c r="N158" s="26">
        <f t="shared" si="23"/>
        <v>49595.53</v>
      </c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</row>
    <row r="159" spans="1:64" ht="36.75" customHeight="1">
      <c r="A159" s="191" t="s">
        <v>391</v>
      </c>
      <c r="B159" s="188" t="s">
        <v>37</v>
      </c>
      <c r="C159" s="188" t="s">
        <v>392</v>
      </c>
      <c r="D159" s="189" t="s">
        <v>393</v>
      </c>
      <c r="E159" s="188" t="s">
        <v>139</v>
      </c>
      <c r="F159" s="183">
        <v>73.77000000000001</v>
      </c>
      <c r="G159" s="190">
        <v>171.74</v>
      </c>
      <c r="H159" s="185">
        <f t="shared" si="21"/>
        <v>213.35</v>
      </c>
      <c r="I159" s="186">
        <f t="shared" si="22"/>
        <v>15738.83</v>
      </c>
      <c r="J159" s="23"/>
      <c r="K159" s="42"/>
      <c r="L159" s="14"/>
      <c r="M159" s="49"/>
      <c r="N159" s="26">
        <f t="shared" si="23"/>
        <v>15738.83</v>
      </c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</row>
    <row r="160" spans="1:64" ht="39.75" customHeight="1">
      <c r="A160" s="191" t="s">
        <v>394</v>
      </c>
      <c r="B160" s="188" t="s">
        <v>37</v>
      </c>
      <c r="C160" s="188" t="s">
        <v>395</v>
      </c>
      <c r="D160" s="189" t="s">
        <v>396</v>
      </c>
      <c r="E160" s="188" t="s">
        <v>224</v>
      </c>
      <c r="F160" s="183">
        <v>15826.400000000001</v>
      </c>
      <c r="G160" s="190">
        <v>11.45</v>
      </c>
      <c r="H160" s="185">
        <f t="shared" si="21"/>
        <v>14.22</v>
      </c>
      <c r="I160" s="186">
        <f t="shared" si="22"/>
        <v>225051.41</v>
      </c>
      <c r="J160" s="23"/>
      <c r="K160" s="42"/>
      <c r="L160" s="14"/>
      <c r="M160" s="49"/>
      <c r="N160" s="26">
        <f t="shared" si="23"/>
        <v>225051.41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</row>
    <row r="161" spans="1:64" ht="30" customHeight="1">
      <c r="A161" s="191" t="s">
        <v>397</v>
      </c>
      <c r="B161" s="188" t="s">
        <v>37</v>
      </c>
      <c r="C161" s="188" t="s">
        <v>398</v>
      </c>
      <c r="D161" s="189" t="s">
        <v>399</v>
      </c>
      <c r="E161" s="188" t="s">
        <v>23</v>
      </c>
      <c r="F161" s="183">
        <v>837.54</v>
      </c>
      <c r="G161" s="190">
        <v>244.01</v>
      </c>
      <c r="H161" s="185">
        <f t="shared" si="21"/>
        <v>303.13</v>
      </c>
      <c r="I161" s="186">
        <f t="shared" si="22"/>
        <v>253883.5</v>
      </c>
      <c r="J161" s="23"/>
      <c r="K161" s="42"/>
      <c r="L161" s="14"/>
      <c r="M161" s="49"/>
      <c r="N161" s="26">
        <f t="shared" si="23"/>
        <v>253883.5</v>
      </c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</row>
    <row r="162" spans="1:64" ht="23.25" customHeight="1">
      <c r="A162" s="176" t="s">
        <v>400</v>
      </c>
      <c r="B162" s="177" t="s">
        <v>401</v>
      </c>
      <c r="C162" s="177"/>
      <c r="D162" s="177"/>
      <c r="E162" s="177"/>
      <c r="F162" s="177"/>
      <c r="G162" s="177"/>
      <c r="H162" s="177"/>
      <c r="I162" s="178">
        <f>SUM(I163:I168)</f>
        <v>3063073.5799999996</v>
      </c>
      <c r="J162" s="23"/>
      <c r="K162" s="42"/>
      <c r="L162" s="14"/>
      <c r="M162" s="49"/>
      <c r="N162" s="26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</row>
    <row r="163" spans="1:64" ht="48" customHeight="1">
      <c r="A163" s="191" t="s">
        <v>402</v>
      </c>
      <c r="B163" s="188" t="s">
        <v>37</v>
      </c>
      <c r="C163" s="188" t="s">
        <v>389</v>
      </c>
      <c r="D163" s="189" t="s">
        <v>390</v>
      </c>
      <c r="E163" s="188" t="s">
        <v>139</v>
      </c>
      <c r="F163" s="183">
        <v>70.849999999999994</v>
      </c>
      <c r="G163" s="190">
        <v>487.57</v>
      </c>
      <c r="H163" s="185">
        <f t="shared" ref="H163:H168" si="24">ROUND(G163*1.2423,2)</f>
        <v>605.71</v>
      </c>
      <c r="I163" s="186">
        <f t="shared" ref="I163:I168" si="25">ROUND(H163*F163,2)</f>
        <v>42914.55</v>
      </c>
      <c r="J163" s="23"/>
      <c r="K163" s="42"/>
      <c r="L163" s="14"/>
      <c r="M163" s="49"/>
      <c r="N163" s="26">
        <f t="shared" ref="N163:N168" si="26">ROUND(F163*H163,2)</f>
        <v>42914.55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</row>
    <row r="164" spans="1:64" ht="48" customHeight="1">
      <c r="A164" s="191" t="s">
        <v>403</v>
      </c>
      <c r="B164" s="188" t="s">
        <v>37</v>
      </c>
      <c r="C164" s="188" t="s">
        <v>392</v>
      </c>
      <c r="D164" s="189" t="s">
        <v>393</v>
      </c>
      <c r="E164" s="188" t="s">
        <v>139</v>
      </c>
      <c r="F164" s="183">
        <v>70.849999999999994</v>
      </c>
      <c r="G164" s="190">
        <v>171.74</v>
      </c>
      <c r="H164" s="185">
        <f t="shared" si="24"/>
        <v>213.35</v>
      </c>
      <c r="I164" s="186">
        <f t="shared" si="25"/>
        <v>15115.85</v>
      </c>
      <c r="J164" s="23"/>
      <c r="K164" s="42"/>
      <c r="L164" s="14"/>
      <c r="M164" s="49"/>
      <c r="N164" s="26">
        <f t="shared" si="26"/>
        <v>15115.85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</row>
    <row r="165" spans="1:64" ht="48" customHeight="1">
      <c r="A165" s="191" t="s">
        <v>404</v>
      </c>
      <c r="B165" s="188" t="s">
        <v>37</v>
      </c>
      <c r="C165" s="188" t="s">
        <v>395</v>
      </c>
      <c r="D165" s="189" t="s">
        <v>396</v>
      </c>
      <c r="E165" s="188" t="s">
        <v>224</v>
      </c>
      <c r="F165" s="183">
        <v>1985.6</v>
      </c>
      <c r="G165" s="190">
        <v>11.45</v>
      </c>
      <c r="H165" s="185">
        <f t="shared" si="24"/>
        <v>14.22</v>
      </c>
      <c r="I165" s="186">
        <f t="shared" si="25"/>
        <v>28235.23</v>
      </c>
      <c r="J165" s="23"/>
      <c r="K165" s="42"/>
      <c r="L165" s="14"/>
      <c r="M165" s="49"/>
      <c r="N165" s="26">
        <f t="shared" si="26"/>
        <v>28235.23</v>
      </c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</row>
    <row r="166" spans="1:64" ht="48" customHeight="1">
      <c r="A166" s="191" t="s">
        <v>405</v>
      </c>
      <c r="B166" s="188" t="s">
        <v>37</v>
      </c>
      <c r="C166" s="188" t="s">
        <v>398</v>
      </c>
      <c r="D166" s="189" t="s">
        <v>399</v>
      </c>
      <c r="E166" s="188" t="s">
        <v>23</v>
      </c>
      <c r="F166" s="183">
        <v>22.99</v>
      </c>
      <c r="G166" s="190">
        <v>244.01</v>
      </c>
      <c r="H166" s="185">
        <f t="shared" si="24"/>
        <v>303.13</v>
      </c>
      <c r="I166" s="186">
        <f t="shared" si="25"/>
        <v>6968.96</v>
      </c>
      <c r="J166" s="23"/>
      <c r="K166" s="42"/>
      <c r="L166" s="14"/>
      <c r="M166" s="49"/>
      <c r="N166" s="26">
        <f t="shared" si="26"/>
        <v>6968.96</v>
      </c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</row>
    <row r="167" spans="1:64" ht="48" customHeight="1">
      <c r="A167" s="191" t="s">
        <v>406</v>
      </c>
      <c r="B167" s="188" t="s">
        <v>37</v>
      </c>
      <c r="C167" s="188" t="s">
        <v>407</v>
      </c>
      <c r="D167" s="189" t="s">
        <v>408</v>
      </c>
      <c r="E167" s="188" t="s">
        <v>224</v>
      </c>
      <c r="F167" s="183">
        <v>101196.12</v>
      </c>
      <c r="G167" s="190">
        <v>23.41</v>
      </c>
      <c r="H167" s="185">
        <f t="shared" si="24"/>
        <v>29.08</v>
      </c>
      <c r="I167" s="186">
        <f t="shared" si="25"/>
        <v>2942783.17</v>
      </c>
      <c r="J167" s="23"/>
      <c r="K167" s="42"/>
      <c r="L167" s="14"/>
      <c r="M167" s="49"/>
      <c r="N167" s="26">
        <f t="shared" si="26"/>
        <v>2942783.17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</row>
    <row r="168" spans="1:64" ht="48" customHeight="1">
      <c r="A168" s="191" t="s">
        <v>409</v>
      </c>
      <c r="B168" s="188" t="s">
        <v>37</v>
      </c>
      <c r="C168" s="188" t="s">
        <v>410</v>
      </c>
      <c r="D168" s="189" t="s">
        <v>411</v>
      </c>
      <c r="E168" s="188" t="s">
        <v>61</v>
      </c>
      <c r="F168" s="183">
        <v>109.80000000000001</v>
      </c>
      <c r="G168" s="190">
        <v>198.35</v>
      </c>
      <c r="H168" s="185">
        <f t="shared" si="24"/>
        <v>246.41</v>
      </c>
      <c r="I168" s="186">
        <f t="shared" si="25"/>
        <v>27055.82</v>
      </c>
      <c r="J168" s="23"/>
      <c r="K168" s="42"/>
      <c r="L168" s="14"/>
      <c r="M168" s="49"/>
      <c r="N168" s="26">
        <f t="shared" si="26"/>
        <v>27055.82</v>
      </c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</row>
    <row r="169" spans="1:64" ht="27.75" customHeight="1">
      <c r="A169" s="176" t="s">
        <v>412</v>
      </c>
      <c r="B169" s="177" t="s">
        <v>413</v>
      </c>
      <c r="C169" s="177"/>
      <c r="D169" s="177"/>
      <c r="E169" s="177"/>
      <c r="F169" s="177"/>
      <c r="G169" s="177"/>
      <c r="H169" s="177"/>
      <c r="I169" s="178">
        <f>SUM(I170:I173)</f>
        <v>65054.630000000005</v>
      </c>
      <c r="J169" s="23"/>
      <c r="K169" s="42"/>
      <c r="L169" s="14"/>
      <c r="M169" s="49"/>
      <c r="N169" s="26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</row>
    <row r="170" spans="1:64" ht="48" customHeight="1">
      <c r="A170" s="191" t="s">
        <v>414</v>
      </c>
      <c r="B170" s="188" t="s">
        <v>37</v>
      </c>
      <c r="C170" s="188" t="s">
        <v>253</v>
      </c>
      <c r="D170" s="189" t="s">
        <v>254</v>
      </c>
      <c r="E170" s="188" t="s">
        <v>61</v>
      </c>
      <c r="F170" s="183">
        <v>69</v>
      </c>
      <c r="G170" s="190">
        <v>1.43</v>
      </c>
      <c r="H170" s="185">
        <f>ROUND(G170*1.2423,2)</f>
        <v>1.78</v>
      </c>
      <c r="I170" s="186">
        <f>ROUND(H170*F170,2)</f>
        <v>122.82</v>
      </c>
      <c r="J170" s="23"/>
      <c r="K170" s="42"/>
      <c r="L170" s="14"/>
      <c r="M170" s="49"/>
      <c r="N170" s="26">
        <f>ROUND(F170*H170,2)</f>
        <v>122.82</v>
      </c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</row>
    <row r="171" spans="1:64" ht="48" customHeight="1">
      <c r="A171" s="191" t="s">
        <v>415</v>
      </c>
      <c r="B171" s="188" t="s">
        <v>37</v>
      </c>
      <c r="C171" s="188" t="s">
        <v>416</v>
      </c>
      <c r="D171" s="189" t="s">
        <v>417</v>
      </c>
      <c r="E171" s="188" t="s">
        <v>61</v>
      </c>
      <c r="F171" s="183">
        <v>150</v>
      </c>
      <c r="G171" s="190">
        <v>8.43</v>
      </c>
      <c r="H171" s="185">
        <f>ROUND(G171*1.2423,2)</f>
        <v>10.47</v>
      </c>
      <c r="I171" s="186">
        <f>ROUND(H171*F171,2)</f>
        <v>1570.5</v>
      </c>
      <c r="J171" s="23"/>
      <c r="K171" s="42"/>
      <c r="L171" s="14"/>
      <c r="M171" s="49"/>
      <c r="N171" s="26">
        <f>ROUND(F171*H171,2)</f>
        <v>1570.5</v>
      </c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</row>
    <row r="172" spans="1:64" ht="48" customHeight="1">
      <c r="A172" s="191" t="s">
        <v>418</v>
      </c>
      <c r="B172" s="188" t="s">
        <v>20</v>
      </c>
      <c r="C172" s="188">
        <v>170524</v>
      </c>
      <c r="D172" s="189" t="s">
        <v>419</v>
      </c>
      <c r="E172" s="188" t="s">
        <v>61</v>
      </c>
      <c r="F172" s="183">
        <v>69</v>
      </c>
      <c r="G172" s="190">
        <v>89.46</v>
      </c>
      <c r="H172" s="185">
        <f>ROUND(G172*1.2423,2)</f>
        <v>111.14</v>
      </c>
      <c r="I172" s="186">
        <f>ROUND(H172*F172,2)</f>
        <v>7668.66</v>
      </c>
      <c r="J172" s="23"/>
      <c r="K172" s="42"/>
      <c r="L172" s="14"/>
      <c r="M172" s="49"/>
      <c r="N172" s="26">
        <f>ROUND(F172*H172,2)</f>
        <v>7668.66</v>
      </c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</row>
    <row r="173" spans="1:64" ht="48" customHeight="1">
      <c r="A173" s="191" t="s">
        <v>420</v>
      </c>
      <c r="B173" s="188" t="s">
        <v>203</v>
      </c>
      <c r="C173" s="188" t="s">
        <v>421</v>
      </c>
      <c r="D173" s="189" t="s">
        <v>422</v>
      </c>
      <c r="E173" s="188" t="s">
        <v>183</v>
      </c>
      <c r="F173" s="183">
        <v>65</v>
      </c>
      <c r="G173" s="190">
        <v>689.7</v>
      </c>
      <c r="H173" s="185">
        <f>ROUND(G173*1.2423,2)</f>
        <v>856.81</v>
      </c>
      <c r="I173" s="186">
        <f>ROUND(H173*F173,2)</f>
        <v>55692.65</v>
      </c>
      <c r="J173" s="23"/>
      <c r="K173" s="42"/>
      <c r="L173" s="14"/>
      <c r="M173" s="49"/>
      <c r="N173" s="26">
        <f>ROUND(F173*H173,2)</f>
        <v>55692.65</v>
      </c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</row>
    <row r="174" spans="1:64" ht="26.25" customHeight="1">
      <c r="A174" s="176" t="s">
        <v>423</v>
      </c>
      <c r="B174" s="177" t="s">
        <v>424</v>
      </c>
      <c r="C174" s="177"/>
      <c r="D174" s="177"/>
      <c r="E174" s="177"/>
      <c r="F174" s="177"/>
      <c r="G174" s="177"/>
      <c r="H174" s="177"/>
      <c r="I174" s="178">
        <f>SUM(I175:I183)</f>
        <v>85949.380000000019</v>
      </c>
      <c r="J174" s="23"/>
      <c r="K174" s="42"/>
      <c r="L174" s="14"/>
      <c r="M174" s="49"/>
      <c r="N174" s="26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</row>
    <row r="175" spans="1:64" ht="39.75" customHeight="1">
      <c r="A175" s="191" t="s">
        <v>425</v>
      </c>
      <c r="B175" s="188" t="s">
        <v>20</v>
      </c>
      <c r="C175" s="188" t="s">
        <v>285</v>
      </c>
      <c r="D175" s="189" t="s">
        <v>286</v>
      </c>
      <c r="E175" s="188" t="s">
        <v>44</v>
      </c>
      <c r="F175" s="183">
        <v>2</v>
      </c>
      <c r="G175" s="190">
        <v>3972.27</v>
      </c>
      <c r="H175" s="185">
        <f t="shared" ref="H175:H183" si="27">ROUND(G175*1.2423,2)</f>
        <v>4934.75</v>
      </c>
      <c r="I175" s="186">
        <f t="shared" ref="I175:I183" si="28">ROUND(H175*F175,2)</f>
        <v>9869.5</v>
      </c>
      <c r="J175" s="23"/>
      <c r="K175" s="42"/>
      <c r="L175" s="14"/>
      <c r="M175" s="49"/>
      <c r="N175" s="26">
        <f t="shared" ref="N175:N183" si="29">ROUND(F175*H175,2)</f>
        <v>9869.5</v>
      </c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</row>
    <row r="176" spans="1:64" ht="38.25" customHeight="1">
      <c r="A176" s="191" t="s">
        <v>426</v>
      </c>
      <c r="B176" s="188" t="s">
        <v>37</v>
      </c>
      <c r="C176" s="188" t="s">
        <v>288</v>
      </c>
      <c r="D176" s="189" t="s">
        <v>289</v>
      </c>
      <c r="E176" s="188" t="s">
        <v>61</v>
      </c>
      <c r="F176" s="183">
        <v>180</v>
      </c>
      <c r="G176" s="190">
        <v>16.21</v>
      </c>
      <c r="H176" s="185">
        <f t="shared" si="27"/>
        <v>20.14</v>
      </c>
      <c r="I176" s="186">
        <f t="shared" si="28"/>
        <v>3625.2</v>
      </c>
      <c r="J176" s="23"/>
      <c r="K176" s="42"/>
      <c r="L176" s="14"/>
      <c r="M176" s="49"/>
      <c r="N176" s="26">
        <f t="shared" si="29"/>
        <v>3625.2</v>
      </c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</row>
    <row r="177" spans="1:64" ht="58.5" customHeight="1">
      <c r="A177" s="191" t="s">
        <v>427</v>
      </c>
      <c r="B177" s="188" t="s">
        <v>30</v>
      </c>
      <c r="C177" s="188" t="s">
        <v>291</v>
      </c>
      <c r="D177" s="189" t="s">
        <v>292</v>
      </c>
      <c r="E177" s="188" t="s">
        <v>44</v>
      </c>
      <c r="F177" s="183">
        <v>18</v>
      </c>
      <c r="G177" s="190">
        <v>213.41</v>
      </c>
      <c r="H177" s="185">
        <f t="shared" si="27"/>
        <v>265.12</v>
      </c>
      <c r="I177" s="186">
        <f t="shared" si="28"/>
        <v>4772.16</v>
      </c>
      <c r="J177" s="23"/>
      <c r="K177" s="42"/>
      <c r="L177" s="14"/>
      <c r="M177" s="49"/>
      <c r="N177" s="26">
        <f t="shared" si="29"/>
        <v>4772.16</v>
      </c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</row>
    <row r="178" spans="1:64" ht="33.75" customHeight="1">
      <c r="A178" s="191" t="s">
        <v>428</v>
      </c>
      <c r="B178" s="188" t="s">
        <v>37</v>
      </c>
      <c r="C178" s="188" t="s">
        <v>294</v>
      </c>
      <c r="D178" s="189" t="s">
        <v>295</v>
      </c>
      <c r="E178" s="188" t="s">
        <v>61</v>
      </c>
      <c r="F178" s="183">
        <v>90</v>
      </c>
      <c r="G178" s="190">
        <v>17.559999999999999</v>
      </c>
      <c r="H178" s="185">
        <f t="shared" si="27"/>
        <v>21.81</v>
      </c>
      <c r="I178" s="186">
        <f t="shared" si="28"/>
        <v>1962.9</v>
      </c>
      <c r="J178" s="23"/>
      <c r="K178" s="42"/>
      <c r="L178" s="14"/>
      <c r="M178" s="49"/>
      <c r="N178" s="26">
        <f t="shared" si="29"/>
        <v>1962.9</v>
      </c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</row>
    <row r="179" spans="1:64" ht="34.5" customHeight="1">
      <c r="A179" s="191" t="s">
        <v>429</v>
      </c>
      <c r="B179" s="188" t="s">
        <v>37</v>
      </c>
      <c r="C179" s="188" t="s">
        <v>430</v>
      </c>
      <c r="D179" s="189" t="s">
        <v>431</v>
      </c>
      <c r="E179" s="188" t="s">
        <v>44</v>
      </c>
      <c r="F179" s="183">
        <v>18</v>
      </c>
      <c r="G179" s="190">
        <v>2511.7199999999998</v>
      </c>
      <c r="H179" s="185">
        <f t="shared" si="27"/>
        <v>3120.31</v>
      </c>
      <c r="I179" s="186">
        <f t="shared" si="28"/>
        <v>56165.58</v>
      </c>
      <c r="J179" s="23"/>
      <c r="K179" s="42"/>
      <c r="L179" s="14"/>
      <c r="M179" s="49"/>
      <c r="N179" s="26">
        <f t="shared" si="29"/>
        <v>56165.58</v>
      </c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</row>
    <row r="180" spans="1:64" ht="35.25" customHeight="1">
      <c r="A180" s="191" t="s">
        <v>432</v>
      </c>
      <c r="B180" s="188" t="s">
        <v>37</v>
      </c>
      <c r="C180" s="188" t="s">
        <v>303</v>
      </c>
      <c r="D180" s="189" t="s">
        <v>304</v>
      </c>
      <c r="E180" s="188" t="s">
        <v>44</v>
      </c>
      <c r="F180" s="183">
        <v>18</v>
      </c>
      <c r="G180" s="190">
        <v>143.04</v>
      </c>
      <c r="H180" s="185">
        <f t="shared" si="27"/>
        <v>177.7</v>
      </c>
      <c r="I180" s="186">
        <f t="shared" si="28"/>
        <v>3198.6</v>
      </c>
      <c r="J180" s="23"/>
      <c r="K180" s="42"/>
      <c r="L180" s="14"/>
      <c r="M180" s="49"/>
      <c r="N180" s="26">
        <f t="shared" si="29"/>
        <v>3198.6</v>
      </c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</row>
    <row r="181" spans="1:64" ht="38.25" customHeight="1">
      <c r="A181" s="191" t="s">
        <v>433</v>
      </c>
      <c r="B181" s="188" t="s">
        <v>20</v>
      </c>
      <c r="C181" s="188">
        <v>90305</v>
      </c>
      <c r="D181" s="189" t="s">
        <v>434</v>
      </c>
      <c r="E181" s="188" t="s">
        <v>61</v>
      </c>
      <c r="F181" s="183">
        <v>180</v>
      </c>
      <c r="G181" s="190">
        <v>4.96</v>
      </c>
      <c r="H181" s="185">
        <f t="shared" si="27"/>
        <v>6.16</v>
      </c>
      <c r="I181" s="186">
        <f t="shared" si="28"/>
        <v>1108.8</v>
      </c>
      <c r="J181" s="23"/>
      <c r="K181" s="42"/>
      <c r="L181" s="14"/>
      <c r="M181" s="49"/>
      <c r="N181" s="26">
        <f t="shared" si="29"/>
        <v>1108.8</v>
      </c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</row>
    <row r="182" spans="1:64" ht="27.75" customHeight="1">
      <c r="A182" s="191" t="s">
        <v>435</v>
      </c>
      <c r="B182" s="188" t="s">
        <v>37</v>
      </c>
      <c r="C182" s="188" t="s">
        <v>309</v>
      </c>
      <c r="D182" s="189" t="s">
        <v>310</v>
      </c>
      <c r="E182" s="188" t="s">
        <v>44</v>
      </c>
      <c r="F182" s="183">
        <v>18</v>
      </c>
      <c r="G182" s="190">
        <v>209.5</v>
      </c>
      <c r="H182" s="185">
        <f t="shared" si="27"/>
        <v>260.26</v>
      </c>
      <c r="I182" s="186">
        <f t="shared" si="28"/>
        <v>4684.68</v>
      </c>
      <c r="J182" s="23"/>
      <c r="K182" s="42"/>
      <c r="L182" s="14"/>
      <c r="M182" s="49"/>
      <c r="N182" s="26">
        <f t="shared" si="29"/>
        <v>4684.68</v>
      </c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</row>
    <row r="183" spans="1:64" ht="28.5" customHeight="1">
      <c r="A183" s="191" t="s">
        <v>436</v>
      </c>
      <c r="B183" s="188" t="s">
        <v>37</v>
      </c>
      <c r="C183" s="188" t="s">
        <v>312</v>
      </c>
      <c r="D183" s="189" t="s">
        <v>313</v>
      </c>
      <c r="E183" s="188" t="s">
        <v>44</v>
      </c>
      <c r="F183" s="183">
        <v>18</v>
      </c>
      <c r="G183" s="190">
        <v>25.13</v>
      </c>
      <c r="H183" s="185">
        <f t="shared" si="27"/>
        <v>31.22</v>
      </c>
      <c r="I183" s="186">
        <f t="shared" si="28"/>
        <v>561.96</v>
      </c>
      <c r="J183" s="23"/>
      <c r="K183" s="42"/>
      <c r="L183" s="14"/>
      <c r="M183" s="49"/>
      <c r="N183" s="26">
        <f t="shared" si="29"/>
        <v>561.96</v>
      </c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</row>
    <row r="184" spans="1:64" ht="25.5" customHeight="1">
      <c r="A184" s="176" t="s">
        <v>437</v>
      </c>
      <c r="B184" s="177" t="s">
        <v>438</v>
      </c>
      <c r="C184" s="177"/>
      <c r="D184" s="177"/>
      <c r="E184" s="177"/>
      <c r="F184" s="177"/>
      <c r="G184" s="177"/>
      <c r="H184" s="177"/>
      <c r="I184" s="178">
        <f>SUM(I185)</f>
        <v>9813.4599999999991</v>
      </c>
      <c r="J184" s="23"/>
      <c r="K184" s="42"/>
      <c r="L184" s="14"/>
      <c r="M184" s="49"/>
      <c r="N184" s="26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</row>
    <row r="185" spans="1:64" ht="49.5" customHeight="1">
      <c r="A185" s="191" t="s">
        <v>439</v>
      </c>
      <c r="B185" s="188" t="s">
        <v>37</v>
      </c>
      <c r="C185" s="188" t="s">
        <v>440</v>
      </c>
      <c r="D185" s="189" t="s">
        <v>441</v>
      </c>
      <c r="E185" s="188" t="s">
        <v>23</v>
      </c>
      <c r="F185" s="183">
        <v>165.6</v>
      </c>
      <c r="G185" s="190">
        <v>47.7</v>
      </c>
      <c r="H185" s="185">
        <f>ROUND(G185*1.2423,2)</f>
        <v>59.26</v>
      </c>
      <c r="I185" s="186">
        <f>ROUND(H185*F185,2)</f>
        <v>9813.4599999999991</v>
      </c>
      <c r="J185" s="23"/>
      <c r="K185" s="42"/>
      <c r="L185" s="14"/>
      <c r="M185" s="49"/>
      <c r="N185" s="26">
        <f>ROUND(F185*H185,2)</f>
        <v>9813.4599999999991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</row>
    <row r="186" spans="1:64" ht="27.75" customHeight="1">
      <c r="A186" s="176" t="s">
        <v>442</v>
      </c>
      <c r="B186" s="177" t="s">
        <v>443</v>
      </c>
      <c r="C186" s="177"/>
      <c r="D186" s="177"/>
      <c r="E186" s="177"/>
      <c r="F186" s="177"/>
      <c r="G186" s="177"/>
      <c r="H186" s="177"/>
      <c r="I186" s="178">
        <f>SUM(I187:I188)</f>
        <v>51611</v>
      </c>
      <c r="J186" s="23"/>
      <c r="K186" s="42"/>
      <c r="L186" s="14"/>
      <c r="M186" s="49"/>
      <c r="N186" s="26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</row>
    <row r="187" spans="1:64" ht="55.5" customHeight="1">
      <c r="A187" s="191" t="s">
        <v>444</v>
      </c>
      <c r="B187" s="188" t="s">
        <v>30</v>
      </c>
      <c r="C187" s="188" t="s">
        <v>445</v>
      </c>
      <c r="D187" s="189" t="s">
        <v>446</v>
      </c>
      <c r="E187" s="188" t="s">
        <v>23</v>
      </c>
      <c r="F187" s="183">
        <v>700</v>
      </c>
      <c r="G187" s="190">
        <v>11.67</v>
      </c>
      <c r="H187" s="185">
        <f>ROUND(G187*1.2423,2)</f>
        <v>14.5</v>
      </c>
      <c r="I187" s="186">
        <f>ROUND(H187*F187,2)</f>
        <v>10150</v>
      </c>
      <c r="J187" s="23"/>
      <c r="K187" s="42"/>
      <c r="L187" s="14"/>
      <c r="M187" s="49"/>
      <c r="N187" s="26">
        <f>ROUND(F187*H187,2)</f>
        <v>10150</v>
      </c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</row>
    <row r="188" spans="1:64" ht="49.5" customHeight="1">
      <c r="A188" s="191" t="s">
        <v>447</v>
      </c>
      <c r="B188" s="188" t="s">
        <v>37</v>
      </c>
      <c r="C188" s="188">
        <v>3311050</v>
      </c>
      <c r="D188" s="207" t="s">
        <v>448</v>
      </c>
      <c r="E188" s="188" t="s">
        <v>23</v>
      </c>
      <c r="F188" s="183">
        <v>700</v>
      </c>
      <c r="G188" s="190">
        <v>47.68</v>
      </c>
      <c r="H188" s="185">
        <f>ROUND(G188*1.2423,2)</f>
        <v>59.23</v>
      </c>
      <c r="I188" s="186">
        <f>ROUND(H188*F188,2)</f>
        <v>41461</v>
      </c>
      <c r="J188" s="23"/>
      <c r="K188" s="42"/>
      <c r="L188" s="14"/>
      <c r="M188" s="49"/>
      <c r="N188" s="26">
        <f>ROUND(F188*H188,2)</f>
        <v>41461</v>
      </c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</row>
    <row r="189" spans="1:64" ht="21" customHeigh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3"/>
      <c r="K189" s="55"/>
      <c r="L189" s="47"/>
      <c r="M189" s="54"/>
      <c r="N189" s="38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</row>
    <row r="190" spans="1:64" ht="25.5" customHeight="1">
      <c r="A190" s="176" t="s">
        <v>449</v>
      </c>
      <c r="B190" s="177" t="s">
        <v>450</v>
      </c>
      <c r="C190" s="177"/>
      <c r="D190" s="177"/>
      <c r="E190" s="177"/>
      <c r="F190" s="177"/>
      <c r="G190" s="177"/>
      <c r="H190" s="177"/>
      <c r="I190" s="178">
        <f>I191+I196+I201+I206+I211</f>
        <v>1575656.88</v>
      </c>
      <c r="J190" s="23"/>
      <c r="K190" s="42"/>
      <c r="L190" s="14"/>
      <c r="M190" s="32">
        <f>I190</f>
        <v>1575656.88</v>
      </c>
      <c r="N190" s="26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</row>
    <row r="191" spans="1:64" ht="49.5" customHeight="1">
      <c r="A191" s="209" t="s">
        <v>451</v>
      </c>
      <c r="B191" s="210" t="s">
        <v>452</v>
      </c>
      <c r="C191" s="210"/>
      <c r="D191" s="210"/>
      <c r="E191" s="210"/>
      <c r="F191" s="210"/>
      <c r="G191" s="210"/>
      <c r="H191" s="210"/>
      <c r="I191" s="211">
        <f>SUM(I192:I195)</f>
        <v>350526.32</v>
      </c>
      <c r="J191" s="23"/>
      <c r="K191" s="42"/>
      <c r="L191" s="14"/>
      <c r="M191" s="49"/>
      <c r="N191" s="26">
        <f>ROUND(F191*H191,2)</f>
        <v>0</v>
      </c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</row>
    <row r="192" spans="1:64" ht="49.5" customHeight="1">
      <c r="A192" s="191" t="s">
        <v>453</v>
      </c>
      <c r="B192" s="212" t="s">
        <v>454</v>
      </c>
      <c r="C192" s="213">
        <v>4010101</v>
      </c>
      <c r="D192" s="214" t="s">
        <v>455</v>
      </c>
      <c r="E192" s="215" t="s">
        <v>61</v>
      </c>
      <c r="F192" s="216">
        <v>470</v>
      </c>
      <c r="G192" s="216">
        <v>164.53</v>
      </c>
      <c r="H192" s="217">
        <f>ROUND(G192*1.2423,2)</f>
        <v>204.4</v>
      </c>
      <c r="I192" s="218">
        <f>ROUND(H192*F192,2)</f>
        <v>96068</v>
      </c>
      <c r="J192" s="23"/>
      <c r="K192" s="42"/>
      <c r="L192" s="14"/>
      <c r="M192" s="49"/>
      <c r="N192" s="26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</row>
    <row r="193" spans="1:64" ht="49.5" customHeight="1">
      <c r="A193" s="191" t="s">
        <v>456</v>
      </c>
      <c r="B193" s="212" t="s">
        <v>454</v>
      </c>
      <c r="C193" s="213">
        <v>4020101</v>
      </c>
      <c r="D193" s="214" t="s">
        <v>457</v>
      </c>
      <c r="E193" s="215" t="s">
        <v>61</v>
      </c>
      <c r="F193" s="219">
        <v>470</v>
      </c>
      <c r="G193" s="219">
        <v>332.38</v>
      </c>
      <c r="H193" s="217">
        <f>ROUND(G193*1.2423,2)</f>
        <v>412.92</v>
      </c>
      <c r="I193" s="218">
        <f>ROUND(H193*F193,2)</f>
        <v>194072.4</v>
      </c>
      <c r="J193" s="23"/>
      <c r="K193" s="42"/>
      <c r="L193" s="14"/>
      <c r="M193" s="49"/>
      <c r="N193" s="26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</row>
    <row r="194" spans="1:64" ht="49.5" customHeight="1">
      <c r="A194" s="191" t="s">
        <v>458</v>
      </c>
      <c r="B194" s="212" t="s">
        <v>454</v>
      </c>
      <c r="C194" s="213">
        <v>4020201</v>
      </c>
      <c r="D194" s="214" t="s">
        <v>459</v>
      </c>
      <c r="E194" s="220" t="s">
        <v>460</v>
      </c>
      <c r="F194" s="219">
        <v>8</v>
      </c>
      <c r="G194" s="221">
        <v>5461.02</v>
      </c>
      <c r="H194" s="217">
        <f>ROUND(G194*1.2423,2)</f>
        <v>6784.23</v>
      </c>
      <c r="I194" s="218">
        <f>ROUND(H194*F194,2)</f>
        <v>54273.84</v>
      </c>
      <c r="J194" s="23"/>
      <c r="K194" s="42"/>
      <c r="L194" s="14"/>
      <c r="M194" s="49"/>
      <c r="N194" s="26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</row>
    <row r="195" spans="1:64" ht="49.5" customHeight="1">
      <c r="A195" s="191" t="s">
        <v>461</v>
      </c>
      <c r="B195" s="212" t="s">
        <v>454</v>
      </c>
      <c r="C195" s="213">
        <v>4020202</v>
      </c>
      <c r="D195" s="214" t="s">
        <v>462</v>
      </c>
      <c r="E195" s="220" t="s">
        <v>460</v>
      </c>
      <c r="F195" s="219">
        <v>8</v>
      </c>
      <c r="G195" s="219">
        <v>615</v>
      </c>
      <c r="H195" s="217">
        <f>ROUND(G195*1.2423,2)</f>
        <v>764.01</v>
      </c>
      <c r="I195" s="218">
        <f>ROUND(H195*F195,2)</f>
        <v>6112.08</v>
      </c>
      <c r="J195" s="23"/>
      <c r="K195" s="42"/>
      <c r="L195" s="14"/>
      <c r="M195" s="49"/>
      <c r="N195" s="26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</row>
    <row r="196" spans="1:64" ht="49.5" customHeight="1">
      <c r="A196" s="209" t="s">
        <v>463</v>
      </c>
      <c r="B196" s="210" t="s">
        <v>464</v>
      </c>
      <c r="C196" s="210"/>
      <c r="D196" s="210"/>
      <c r="E196" s="210"/>
      <c r="F196" s="210"/>
      <c r="G196" s="210"/>
      <c r="H196" s="210"/>
      <c r="I196" s="211">
        <f>SUM(I197:I200)</f>
        <v>516529.68</v>
      </c>
      <c r="J196" s="23"/>
      <c r="K196" s="42"/>
      <c r="L196" s="14"/>
      <c r="M196" s="49"/>
      <c r="N196" s="26">
        <f>ROUND(F196*H196,2)</f>
        <v>0</v>
      </c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</row>
    <row r="197" spans="1:64" ht="49.5" customHeight="1">
      <c r="A197" s="191" t="s">
        <v>465</v>
      </c>
      <c r="B197" s="212" t="s">
        <v>454</v>
      </c>
      <c r="C197" s="213">
        <v>4010101</v>
      </c>
      <c r="D197" s="214" t="s">
        <v>455</v>
      </c>
      <c r="E197" s="215" t="s">
        <v>61</v>
      </c>
      <c r="F197" s="216">
        <v>690</v>
      </c>
      <c r="G197" s="216">
        <v>164.53</v>
      </c>
      <c r="H197" s="217">
        <f>ROUND(G197*1.2423,2)</f>
        <v>204.4</v>
      </c>
      <c r="I197" s="218">
        <f>ROUND(H197*F197,2)</f>
        <v>141036</v>
      </c>
      <c r="J197" s="23"/>
      <c r="K197" s="42"/>
      <c r="L197" s="14"/>
      <c r="M197" s="49"/>
      <c r="N197" s="26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</row>
    <row r="198" spans="1:64" ht="49.5" customHeight="1">
      <c r="A198" s="191" t="s">
        <v>466</v>
      </c>
      <c r="B198" s="212" t="s">
        <v>454</v>
      </c>
      <c r="C198" s="213">
        <v>4020101</v>
      </c>
      <c r="D198" s="214" t="s">
        <v>457</v>
      </c>
      <c r="E198" s="215" t="s">
        <v>61</v>
      </c>
      <c r="F198" s="219">
        <v>690</v>
      </c>
      <c r="G198" s="219">
        <v>332.38</v>
      </c>
      <c r="H198" s="217">
        <f>ROUND(G198*1.2423,2)</f>
        <v>412.92</v>
      </c>
      <c r="I198" s="218">
        <f>ROUND(H198*F198,2)</f>
        <v>284914.8</v>
      </c>
      <c r="J198" s="23"/>
      <c r="K198" s="42"/>
      <c r="L198" s="14"/>
      <c r="M198" s="49"/>
      <c r="N198" s="26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</row>
    <row r="199" spans="1:64" ht="49.5" customHeight="1">
      <c r="A199" s="191" t="s">
        <v>467</v>
      </c>
      <c r="B199" s="212" t="s">
        <v>454</v>
      </c>
      <c r="C199" s="213">
        <v>4020201</v>
      </c>
      <c r="D199" s="214" t="s">
        <v>459</v>
      </c>
      <c r="E199" s="220" t="s">
        <v>460</v>
      </c>
      <c r="F199" s="219">
        <v>12</v>
      </c>
      <c r="G199" s="221">
        <v>5461.02</v>
      </c>
      <c r="H199" s="217">
        <f>ROUND(G199*1.2423,2)</f>
        <v>6784.23</v>
      </c>
      <c r="I199" s="218">
        <f>ROUND(H199*F199,2)</f>
        <v>81410.759999999995</v>
      </c>
      <c r="J199" s="23"/>
      <c r="K199" s="42"/>
      <c r="L199" s="14"/>
      <c r="M199" s="49"/>
      <c r="N199" s="26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</row>
    <row r="200" spans="1:64" ht="49.5" customHeight="1">
      <c r="A200" s="191" t="s">
        <v>468</v>
      </c>
      <c r="B200" s="212" t="s">
        <v>454</v>
      </c>
      <c r="C200" s="213">
        <v>4020202</v>
      </c>
      <c r="D200" s="214" t="s">
        <v>462</v>
      </c>
      <c r="E200" s="220" t="s">
        <v>460</v>
      </c>
      <c r="F200" s="219">
        <v>12</v>
      </c>
      <c r="G200" s="219">
        <v>615</v>
      </c>
      <c r="H200" s="217">
        <f>ROUND(G200*1.2423,2)</f>
        <v>764.01</v>
      </c>
      <c r="I200" s="218">
        <f>ROUND(H200*F200,2)</f>
        <v>9168.1200000000008</v>
      </c>
      <c r="J200" s="23"/>
      <c r="K200" s="42"/>
      <c r="L200" s="14"/>
      <c r="M200" s="49"/>
      <c r="N200" s="26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</row>
    <row r="201" spans="1:64" ht="49.5" customHeight="1">
      <c r="A201" s="209" t="s">
        <v>469</v>
      </c>
      <c r="B201" s="210" t="s">
        <v>470</v>
      </c>
      <c r="C201" s="210"/>
      <c r="D201" s="210"/>
      <c r="E201" s="210"/>
      <c r="F201" s="210"/>
      <c r="G201" s="210"/>
      <c r="H201" s="210"/>
      <c r="I201" s="211">
        <f>SUM(I202:I205)</f>
        <v>166003.36000000002</v>
      </c>
      <c r="J201" s="23"/>
      <c r="K201" s="42"/>
      <c r="L201" s="14"/>
      <c r="M201" s="49"/>
      <c r="N201" s="26">
        <f>ROUND(F201*H201,2)</f>
        <v>0</v>
      </c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</row>
    <row r="202" spans="1:64" ht="49.5" customHeight="1">
      <c r="A202" s="191" t="s">
        <v>471</v>
      </c>
      <c r="B202" s="212" t="s">
        <v>454</v>
      </c>
      <c r="C202" s="213">
        <v>4010101</v>
      </c>
      <c r="D202" s="214" t="s">
        <v>455</v>
      </c>
      <c r="E202" s="215" t="s">
        <v>61</v>
      </c>
      <c r="F202" s="216">
        <v>220</v>
      </c>
      <c r="G202" s="216">
        <v>164.53</v>
      </c>
      <c r="H202" s="217">
        <f>ROUND(G202*1.2423,2)</f>
        <v>204.4</v>
      </c>
      <c r="I202" s="218">
        <f>ROUND(H202*F202,2)</f>
        <v>44968</v>
      </c>
      <c r="J202" s="23"/>
      <c r="K202" s="42"/>
      <c r="L202" s="14"/>
      <c r="M202" s="49"/>
      <c r="N202" s="26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</row>
    <row r="203" spans="1:64" ht="49.5" customHeight="1">
      <c r="A203" s="191" t="s">
        <v>472</v>
      </c>
      <c r="B203" s="212" t="s">
        <v>454</v>
      </c>
      <c r="C203" s="213">
        <v>4020101</v>
      </c>
      <c r="D203" s="214" t="s">
        <v>457</v>
      </c>
      <c r="E203" s="215" t="s">
        <v>61</v>
      </c>
      <c r="F203" s="219">
        <v>220</v>
      </c>
      <c r="G203" s="219">
        <v>332.38</v>
      </c>
      <c r="H203" s="217">
        <f>ROUND(G203*1.2423,2)</f>
        <v>412.92</v>
      </c>
      <c r="I203" s="218">
        <f>ROUND(H203*F203,2)</f>
        <v>90842.4</v>
      </c>
      <c r="J203" s="23"/>
      <c r="K203" s="42"/>
      <c r="L203" s="14"/>
      <c r="M203" s="49"/>
      <c r="N203" s="26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</row>
    <row r="204" spans="1:64" ht="49.5" customHeight="1">
      <c r="A204" s="191" t="s">
        <v>473</v>
      </c>
      <c r="B204" s="212" t="s">
        <v>454</v>
      </c>
      <c r="C204" s="213">
        <v>4020201</v>
      </c>
      <c r="D204" s="214" t="s">
        <v>459</v>
      </c>
      <c r="E204" s="220" t="s">
        <v>460</v>
      </c>
      <c r="F204" s="219">
        <v>4</v>
      </c>
      <c r="G204" s="221">
        <v>5461.02</v>
      </c>
      <c r="H204" s="217">
        <f>ROUND(G204*1.2423,2)</f>
        <v>6784.23</v>
      </c>
      <c r="I204" s="218">
        <f>ROUND(H204*F204,2)</f>
        <v>27136.92</v>
      </c>
      <c r="J204" s="23"/>
      <c r="K204" s="42"/>
      <c r="L204" s="14"/>
      <c r="M204" s="49"/>
      <c r="N204" s="26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</row>
    <row r="205" spans="1:64" ht="49.5" customHeight="1">
      <c r="A205" s="191" t="s">
        <v>474</v>
      </c>
      <c r="B205" s="212" t="s">
        <v>454</v>
      </c>
      <c r="C205" s="213">
        <v>4020202</v>
      </c>
      <c r="D205" s="214" t="s">
        <v>462</v>
      </c>
      <c r="E205" s="220" t="s">
        <v>460</v>
      </c>
      <c r="F205" s="219">
        <v>4</v>
      </c>
      <c r="G205" s="219">
        <v>615</v>
      </c>
      <c r="H205" s="217">
        <f>ROUND(G205*1.2423,2)</f>
        <v>764.01</v>
      </c>
      <c r="I205" s="218">
        <f>ROUND(H205*F205,2)</f>
        <v>3056.04</v>
      </c>
      <c r="J205" s="23"/>
      <c r="K205" s="42"/>
      <c r="L205" s="14"/>
      <c r="M205" s="49"/>
      <c r="N205" s="26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</row>
    <row r="206" spans="1:64" ht="49.5" customHeight="1">
      <c r="A206" s="209" t="s">
        <v>475</v>
      </c>
      <c r="B206" s="210" t="s">
        <v>476</v>
      </c>
      <c r="C206" s="210"/>
      <c r="D206" s="210"/>
      <c r="E206" s="210"/>
      <c r="F206" s="210"/>
      <c r="G206" s="210"/>
      <c r="H206" s="210"/>
      <c r="I206" s="211">
        <f>SUM(I207:I210)</f>
        <v>172176.56000000003</v>
      </c>
      <c r="J206" s="23"/>
      <c r="K206" s="42"/>
      <c r="L206" s="14"/>
      <c r="M206" s="49"/>
      <c r="N206" s="26">
        <f>ROUND(F206*H206,2)</f>
        <v>0</v>
      </c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</row>
    <row r="207" spans="1:64" ht="49.5" customHeight="1">
      <c r="A207" s="191" t="s">
        <v>477</v>
      </c>
      <c r="B207" s="212" t="s">
        <v>454</v>
      </c>
      <c r="C207" s="213">
        <v>4010101</v>
      </c>
      <c r="D207" s="214" t="s">
        <v>455</v>
      </c>
      <c r="E207" s="215" t="s">
        <v>61</v>
      </c>
      <c r="F207" s="216">
        <v>230</v>
      </c>
      <c r="G207" s="216">
        <v>164.53</v>
      </c>
      <c r="H207" s="217">
        <f>ROUND(G207*1.2423,2)</f>
        <v>204.4</v>
      </c>
      <c r="I207" s="218">
        <f>ROUND(H207*F207,2)</f>
        <v>47012</v>
      </c>
      <c r="J207" s="23"/>
      <c r="K207" s="42"/>
      <c r="L207" s="14"/>
      <c r="M207" s="49"/>
      <c r="N207" s="26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</row>
    <row r="208" spans="1:64" ht="49.5" customHeight="1">
      <c r="A208" s="191" t="s">
        <v>478</v>
      </c>
      <c r="B208" s="212" t="s">
        <v>454</v>
      </c>
      <c r="C208" s="213">
        <v>4020101</v>
      </c>
      <c r="D208" s="214" t="s">
        <v>457</v>
      </c>
      <c r="E208" s="215" t="s">
        <v>61</v>
      </c>
      <c r="F208" s="219">
        <v>230</v>
      </c>
      <c r="G208" s="219">
        <v>332.38</v>
      </c>
      <c r="H208" s="217">
        <f>ROUND(G208*1.2423,2)</f>
        <v>412.92</v>
      </c>
      <c r="I208" s="218">
        <f>ROUND(H208*F208,2)</f>
        <v>94971.6</v>
      </c>
      <c r="J208" s="23"/>
      <c r="K208" s="42"/>
      <c r="L208" s="14"/>
      <c r="M208" s="49"/>
      <c r="N208" s="26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</row>
    <row r="209" spans="1:64" ht="49.5" customHeight="1">
      <c r="A209" s="191" t="s">
        <v>479</v>
      </c>
      <c r="B209" s="212" t="s">
        <v>454</v>
      </c>
      <c r="C209" s="213">
        <v>4020201</v>
      </c>
      <c r="D209" s="214" t="s">
        <v>459</v>
      </c>
      <c r="E209" s="220" t="s">
        <v>460</v>
      </c>
      <c r="F209" s="219">
        <v>4</v>
      </c>
      <c r="G209" s="221">
        <v>5461.02</v>
      </c>
      <c r="H209" s="217">
        <f>ROUND(G209*1.2423,2)</f>
        <v>6784.23</v>
      </c>
      <c r="I209" s="218">
        <f>ROUND(H209*F209,2)</f>
        <v>27136.92</v>
      </c>
      <c r="J209" s="23"/>
      <c r="K209" s="42"/>
      <c r="L209" s="14"/>
      <c r="M209" s="49"/>
      <c r="N209" s="26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</row>
    <row r="210" spans="1:64" ht="49.5" customHeight="1">
      <c r="A210" s="191" t="s">
        <v>480</v>
      </c>
      <c r="B210" s="212" t="s">
        <v>454</v>
      </c>
      <c r="C210" s="213">
        <v>4020202</v>
      </c>
      <c r="D210" s="214" t="s">
        <v>462</v>
      </c>
      <c r="E210" s="220" t="s">
        <v>460</v>
      </c>
      <c r="F210" s="219">
        <v>4</v>
      </c>
      <c r="G210" s="219">
        <v>615</v>
      </c>
      <c r="H210" s="217">
        <f>ROUND(G210*1.2423,2)</f>
        <v>764.01</v>
      </c>
      <c r="I210" s="218">
        <f>ROUND(H210*F210,2)</f>
        <v>3056.04</v>
      </c>
      <c r="J210" s="23"/>
      <c r="K210" s="42"/>
      <c r="L210" s="14"/>
      <c r="M210" s="49"/>
      <c r="N210" s="26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</row>
    <row r="211" spans="1:64" ht="49.5" customHeight="1">
      <c r="A211" s="209" t="s">
        <v>481</v>
      </c>
      <c r="B211" s="210" t="s">
        <v>482</v>
      </c>
      <c r="C211" s="210"/>
      <c r="D211" s="210"/>
      <c r="E211" s="210"/>
      <c r="F211" s="210"/>
      <c r="G211" s="210"/>
      <c r="H211" s="210"/>
      <c r="I211" s="211">
        <f>SUM(I212:I215)</f>
        <v>370420.96</v>
      </c>
      <c r="J211" s="23"/>
      <c r="K211" s="42"/>
      <c r="L211" s="14"/>
      <c r="M211" s="49"/>
      <c r="N211" s="26">
        <f>ROUND(F211*H211,2)</f>
        <v>0</v>
      </c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</row>
    <row r="212" spans="1:64" ht="49.5" customHeight="1">
      <c r="A212" s="191" t="s">
        <v>477</v>
      </c>
      <c r="B212" s="212" t="s">
        <v>454</v>
      </c>
      <c r="C212" s="213">
        <v>4010101</v>
      </c>
      <c r="D212" s="214" t="s">
        <v>455</v>
      </c>
      <c r="E212" s="215" t="s">
        <v>61</v>
      </c>
      <c r="F212" s="216">
        <v>490</v>
      </c>
      <c r="G212" s="216">
        <v>164.53</v>
      </c>
      <c r="H212" s="217">
        <f>ROUND(G212*1.2423,2)</f>
        <v>204.4</v>
      </c>
      <c r="I212" s="218">
        <f>ROUND(H212*F212,2)</f>
        <v>100156</v>
      </c>
      <c r="J212" s="23"/>
      <c r="K212" s="42"/>
      <c r="L212" s="14"/>
      <c r="M212" s="49"/>
      <c r="N212" s="26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</row>
    <row r="213" spans="1:64" ht="49.5" customHeight="1">
      <c r="A213" s="191" t="s">
        <v>478</v>
      </c>
      <c r="B213" s="212" t="s">
        <v>454</v>
      </c>
      <c r="C213" s="213">
        <v>4020101</v>
      </c>
      <c r="D213" s="214" t="s">
        <v>457</v>
      </c>
      <c r="E213" s="215" t="s">
        <v>61</v>
      </c>
      <c r="F213" s="219">
        <v>490</v>
      </c>
      <c r="G213" s="219">
        <v>332.38</v>
      </c>
      <c r="H213" s="217">
        <f>ROUND(G213*1.2423,2)</f>
        <v>412.92</v>
      </c>
      <c r="I213" s="218">
        <f>ROUND(H213*F213,2)</f>
        <v>202330.8</v>
      </c>
      <c r="J213" s="23"/>
      <c r="K213" s="42"/>
      <c r="L213" s="14"/>
      <c r="M213" s="49"/>
      <c r="N213" s="26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</row>
    <row r="214" spans="1:64" ht="49.5" customHeight="1">
      <c r="A214" s="191" t="s">
        <v>479</v>
      </c>
      <c r="B214" s="212" t="s">
        <v>454</v>
      </c>
      <c r="C214" s="213">
        <v>4020201</v>
      </c>
      <c r="D214" s="214" t="s">
        <v>459</v>
      </c>
      <c r="E214" s="220" t="s">
        <v>460</v>
      </c>
      <c r="F214" s="219">
        <v>9</v>
      </c>
      <c r="G214" s="221">
        <v>5461.02</v>
      </c>
      <c r="H214" s="217">
        <f>ROUND(G214*1.2423,2)</f>
        <v>6784.23</v>
      </c>
      <c r="I214" s="218">
        <f>ROUND(H214*F214,2)</f>
        <v>61058.07</v>
      </c>
      <c r="J214" s="23"/>
      <c r="K214" s="42"/>
      <c r="L214" s="14"/>
      <c r="M214" s="49"/>
      <c r="N214" s="26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</row>
    <row r="215" spans="1:64" ht="49.5" customHeight="1">
      <c r="A215" s="191" t="s">
        <v>480</v>
      </c>
      <c r="B215" s="212" t="s">
        <v>454</v>
      </c>
      <c r="C215" s="213">
        <v>4020202</v>
      </c>
      <c r="D215" s="214" t="s">
        <v>462</v>
      </c>
      <c r="E215" s="220" t="s">
        <v>460</v>
      </c>
      <c r="F215" s="219">
        <v>9</v>
      </c>
      <c r="G215" s="219">
        <v>615</v>
      </c>
      <c r="H215" s="217">
        <f>ROUND(G215*1.2423,2)</f>
        <v>764.01</v>
      </c>
      <c r="I215" s="218">
        <f>ROUND(H215*F215,2)</f>
        <v>6876.09</v>
      </c>
      <c r="J215" s="23"/>
      <c r="K215" s="42"/>
      <c r="L215" s="14"/>
      <c r="M215" s="49"/>
      <c r="N215" s="26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</row>
    <row r="216" spans="1:64" ht="14.65" customHeight="1">
      <c r="A216" s="208"/>
      <c r="B216" s="208"/>
      <c r="C216" s="208"/>
      <c r="D216" s="208"/>
      <c r="E216" s="208"/>
      <c r="F216" s="208"/>
      <c r="G216" s="208"/>
      <c r="H216" s="208"/>
      <c r="I216" s="208"/>
      <c r="K216" s="56"/>
      <c r="M216" s="25"/>
      <c r="N216" s="30"/>
    </row>
    <row r="217" spans="1:64" ht="27.75" customHeight="1">
      <c r="A217" s="134" t="s">
        <v>16</v>
      </c>
      <c r="B217" s="134"/>
      <c r="C217" s="134"/>
      <c r="D217" s="134"/>
      <c r="E217" s="134"/>
      <c r="F217" s="134"/>
      <c r="G217" s="134"/>
      <c r="H217" s="135">
        <f>SUM(I9,I30,I40,I45,I51,I71,I80,I91,I96,I101,I108,I113,I126,I137,I143,I148,I190)</f>
        <v>28022446.190000001</v>
      </c>
      <c r="I217" s="135"/>
      <c r="J217" s="23"/>
      <c r="M217" s="57">
        <f>SUM(M8:M200)</f>
        <v>28022446.190000001</v>
      </c>
      <c r="N217" s="58">
        <f>SUM(N8:N200)</f>
        <v>26446789.310000002</v>
      </c>
    </row>
    <row r="218" spans="1:64" ht="14.65" customHeight="1">
      <c r="N218" s="11"/>
    </row>
    <row r="219" spans="1:64" ht="14.65" customHeight="1">
      <c r="A219" s="133" t="s">
        <v>483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N219" s="11"/>
    </row>
    <row r="220" spans="1:64" ht="14.65" customHeight="1">
      <c r="D220" s="2"/>
      <c r="E220" s="3"/>
      <c r="F220" s="59"/>
      <c r="G220" s="60"/>
      <c r="H220" s="60"/>
      <c r="I220" s="61"/>
      <c r="J220" s="7"/>
      <c r="N220" s="11"/>
    </row>
    <row r="221" spans="1:64" ht="14.65" customHeight="1">
      <c r="D221" s="2"/>
      <c r="E221" s="3"/>
      <c r="F221" s="59"/>
      <c r="G221" s="60"/>
      <c r="H221" s="60"/>
      <c r="I221" s="61"/>
      <c r="J221" s="7"/>
      <c r="N221" s="11"/>
    </row>
    <row r="222" spans="1:64" ht="14.65" customHeight="1">
      <c r="D222" s="2"/>
      <c r="E222" s="3"/>
      <c r="F222" s="59"/>
      <c r="G222" s="60"/>
      <c r="H222" s="60"/>
      <c r="I222" s="61"/>
      <c r="J222" s="7"/>
      <c r="N222" s="11"/>
    </row>
    <row r="223" spans="1:64" ht="14.65" customHeight="1">
      <c r="D223" s="2"/>
      <c r="E223" s="3"/>
      <c r="F223" s="59"/>
      <c r="G223" s="60"/>
      <c r="H223" s="60"/>
      <c r="I223" s="61"/>
      <c r="J223" s="7"/>
    </row>
    <row r="224" spans="1:64" ht="14.65" customHeight="1">
      <c r="A224" s="133" t="s">
        <v>484</v>
      </c>
      <c r="B224" s="133"/>
      <c r="C224" s="133"/>
      <c r="D224" s="133"/>
      <c r="E224" s="133"/>
      <c r="F224" s="133"/>
      <c r="G224" s="133"/>
      <c r="H224" s="133"/>
      <c r="I224" s="133"/>
      <c r="J224" s="133"/>
    </row>
    <row r="225" spans="1:10" ht="14.65" customHeight="1">
      <c r="A225" s="133" t="s">
        <v>485</v>
      </c>
      <c r="B225" s="133"/>
      <c r="C225" s="133"/>
      <c r="D225" s="133"/>
      <c r="E225" s="133"/>
      <c r="F225" s="133"/>
      <c r="G225" s="133"/>
      <c r="H225" s="133"/>
      <c r="I225" s="133"/>
      <c r="J225" s="133"/>
    </row>
    <row r="226" spans="1:10" ht="14.65" customHeight="1">
      <c r="A226" s="132" t="s">
        <v>486</v>
      </c>
      <c r="B226" s="132"/>
      <c r="C226" s="132"/>
      <c r="D226" s="132"/>
      <c r="E226" s="132"/>
      <c r="F226" s="132"/>
      <c r="G226" s="132"/>
      <c r="H226" s="132"/>
      <c r="I226" s="132"/>
      <c r="J226" s="132"/>
    </row>
    <row r="231" spans="1:10" ht="14.65" customHeight="1">
      <c r="A231" s="133" t="s">
        <v>487</v>
      </c>
      <c r="B231" s="133"/>
      <c r="C231" s="133"/>
      <c r="D231" s="133"/>
      <c r="E231" s="133"/>
      <c r="F231" s="133"/>
      <c r="G231" s="133"/>
      <c r="H231" s="133"/>
      <c r="I231" s="133"/>
      <c r="J231" s="133"/>
    </row>
    <row r="232" spans="1:10" ht="14.65" customHeight="1">
      <c r="A232" s="133" t="s">
        <v>488</v>
      </c>
      <c r="B232" s="133"/>
      <c r="C232" s="133"/>
      <c r="D232" s="133"/>
      <c r="E232" s="133"/>
      <c r="F232" s="133"/>
      <c r="G232" s="133"/>
      <c r="H232" s="133"/>
      <c r="I232" s="133"/>
      <c r="J232" s="133"/>
    </row>
    <row r="233" spans="1:10" ht="14.65" customHeight="1">
      <c r="A233" s="132" t="s">
        <v>489</v>
      </c>
      <c r="B233" s="132"/>
      <c r="C233" s="132"/>
      <c r="D233" s="132"/>
      <c r="E233" s="132"/>
      <c r="F233" s="132"/>
      <c r="G233" s="132"/>
      <c r="H233" s="132"/>
      <c r="I233" s="132"/>
      <c r="J233" s="132"/>
    </row>
    <row r="238" spans="1:10" ht="14.65" customHeight="1">
      <c r="A238" s="133" t="s">
        <v>490</v>
      </c>
      <c r="B238" s="133"/>
      <c r="C238" s="133"/>
      <c r="D238" s="133"/>
      <c r="E238" s="133"/>
      <c r="F238" s="133"/>
      <c r="G238" s="133"/>
      <c r="H238" s="133"/>
      <c r="I238" s="133"/>
      <c r="J238" s="133"/>
    </row>
    <row r="239" spans="1:10" ht="14.65" customHeight="1">
      <c r="A239" s="133" t="s">
        <v>491</v>
      </c>
      <c r="B239" s="133"/>
      <c r="C239" s="133"/>
      <c r="D239" s="133"/>
      <c r="E239" s="133"/>
      <c r="F239" s="133"/>
      <c r="G239" s="133"/>
      <c r="H239" s="133"/>
      <c r="I239" s="133"/>
      <c r="J239" s="133"/>
    </row>
    <row r="240" spans="1:10" ht="14.65" customHeight="1">
      <c r="A240" s="132" t="s">
        <v>489</v>
      </c>
      <c r="B240" s="132"/>
      <c r="C240" s="132"/>
      <c r="D240" s="132"/>
      <c r="E240" s="132"/>
      <c r="F240" s="132"/>
      <c r="G240" s="132"/>
      <c r="H240" s="132"/>
      <c r="I240" s="132"/>
      <c r="J240" s="132"/>
    </row>
    <row r="65535" ht="12.75" customHeight="1"/>
    <row r="65536" ht="12.75" customHeight="1"/>
  </sheetData>
  <sheetProtection selectLockedCells="1" selectUnlockedCells="1"/>
  <mergeCells count="75">
    <mergeCell ref="A1:B4"/>
    <mergeCell ref="C1:I1"/>
    <mergeCell ref="C2:I2"/>
    <mergeCell ref="C3:I3"/>
    <mergeCell ref="C4:D4"/>
    <mergeCell ref="E4:G4"/>
    <mergeCell ref="H4:I4"/>
    <mergeCell ref="K4:K7"/>
    <mergeCell ref="M4:N7"/>
    <mergeCell ref="A5:I5"/>
    <mergeCell ref="A6:A7"/>
    <mergeCell ref="B6:B7"/>
    <mergeCell ref="C6:C7"/>
    <mergeCell ref="D6:D7"/>
    <mergeCell ref="E6:E7"/>
    <mergeCell ref="F6:F7"/>
    <mergeCell ref="G6:G7"/>
    <mergeCell ref="A8:I8"/>
    <mergeCell ref="B9:H9"/>
    <mergeCell ref="A29:I29"/>
    <mergeCell ref="B30:H30"/>
    <mergeCell ref="A39:I39"/>
    <mergeCell ref="B40:H40"/>
    <mergeCell ref="A44:I44"/>
    <mergeCell ref="B45:H45"/>
    <mergeCell ref="A50:I50"/>
    <mergeCell ref="B51:H51"/>
    <mergeCell ref="A70:I70"/>
    <mergeCell ref="B71:H71"/>
    <mergeCell ref="A79:I79"/>
    <mergeCell ref="B80:H80"/>
    <mergeCell ref="A90:I90"/>
    <mergeCell ref="B91:H91"/>
    <mergeCell ref="A95:I95"/>
    <mergeCell ref="B96:H96"/>
    <mergeCell ref="A100:I100"/>
    <mergeCell ref="B101:H101"/>
    <mergeCell ref="A107:I107"/>
    <mergeCell ref="B108:H108"/>
    <mergeCell ref="A112:I112"/>
    <mergeCell ref="B113:H113"/>
    <mergeCell ref="A125:I125"/>
    <mergeCell ref="B126:H126"/>
    <mergeCell ref="A136:I136"/>
    <mergeCell ref="B137:H137"/>
    <mergeCell ref="A142:I142"/>
    <mergeCell ref="B143:H143"/>
    <mergeCell ref="A147:I147"/>
    <mergeCell ref="B148:H148"/>
    <mergeCell ref="B149:H149"/>
    <mergeCell ref="B162:H162"/>
    <mergeCell ref="B169:H169"/>
    <mergeCell ref="B174:H174"/>
    <mergeCell ref="B184:H184"/>
    <mergeCell ref="B186:H186"/>
    <mergeCell ref="A189:I189"/>
    <mergeCell ref="B190:H190"/>
    <mergeCell ref="B191:H191"/>
    <mergeCell ref="B196:H196"/>
    <mergeCell ref="B201:H201"/>
    <mergeCell ref="B206:H206"/>
    <mergeCell ref="B211:H211"/>
    <mergeCell ref="A216:I216"/>
    <mergeCell ref="A217:G217"/>
    <mergeCell ref="H217:I217"/>
    <mergeCell ref="A233:J233"/>
    <mergeCell ref="A238:J238"/>
    <mergeCell ref="A239:J239"/>
    <mergeCell ref="A240:J240"/>
    <mergeCell ref="A219:J219"/>
    <mergeCell ref="A224:J224"/>
    <mergeCell ref="A225:J225"/>
    <mergeCell ref="A226:J226"/>
    <mergeCell ref="A231:J231"/>
    <mergeCell ref="A232:J232"/>
  </mergeCells>
  <conditionalFormatting sqref="H4">
    <cfRule type="cellIs" dxfId="1" priority="1" stopIfTrue="1" operator="equal">
      <formula>""</formula>
    </cfRule>
  </conditionalFormatting>
  <conditionalFormatting sqref="D188">
    <cfRule type="expression" dxfId="0" priority="2" stopIfTrue="1">
      <formula>I188&lt;6</formula>
    </cfRule>
  </conditionalFormatting>
  <dataValidations count="1">
    <dataValidation type="list" operator="equal" showErrorMessage="1" sqref="H4">
      <formula1>"DESONERADO - SANEAMENTO,DESONERADO - CONSTRUÇÃO E REFORMA,DESONERADO - FLUVIAIS,DESONERADO - RECAP. e PAVIMENTAÇÃO,NÃO DESONERADO - SANEAMENTO,NÃO DESONERADO - CONSTRUÇÃO E REFORMA,NÃO DESONERADO - FLUVIAIS,NÃO DESONERADO - RECAP. e PAVIMENTAÇÃO"</formula1>
      <formula2>0</formula2>
    </dataValidation>
  </dataValidations>
  <printOptions horizontalCentered="1"/>
  <pageMargins left="0.31527777777777777" right="0.31527777777777777" top="0.98402777777777772" bottom="0.90555555555555556" header="0.51180555555555551" footer="0.11805555555555555"/>
  <pageSetup paperSize="9" scale="60" firstPageNumber="0" orientation="landscape" horizontalDpi="300" verticalDpi="300" r:id="rId1"/>
  <headerFooter alignWithMargins="0">
    <oddFooter>&amp;CPágina &amp;P de &amp;N</oddFooter>
  </headerFooter>
  <rowBreaks count="9" manualBreakCount="9">
    <brk id="29" max="16383" man="1"/>
    <brk id="60" max="16383" man="1"/>
    <brk id="90" max="16383" man="1"/>
    <brk id="120" max="16383" man="1"/>
    <brk id="149" max="16383" man="1"/>
    <brk id="176" max="16383" man="1"/>
    <brk id="197" max="16383" man="1"/>
    <brk id="217" max="16383" man="1"/>
    <brk id="2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view="pageBreakPreview" topLeftCell="C4" workbookViewId="0">
      <pane ySplit="1455" activePane="bottomLeft"/>
      <selection activeCell="C4" sqref="C4"/>
      <selection pane="bottomLeft" activeCell="R64" sqref="R64"/>
    </sheetView>
  </sheetViews>
  <sheetFormatPr defaultRowHeight="14.25"/>
  <cols>
    <col min="1" max="1" width="6.75" customWidth="1"/>
    <col min="2" max="2" width="28" customWidth="1"/>
    <col min="3" max="3" width="16" customWidth="1"/>
    <col min="4" max="4" width="14.625" customWidth="1"/>
    <col min="5" max="6" width="15.375" customWidth="1"/>
    <col min="7" max="8" width="14.375" customWidth="1"/>
    <col min="9" max="9" width="14" customWidth="1"/>
    <col min="10" max="12" width="14.375" customWidth="1"/>
    <col min="13" max="13" width="14.125" customWidth="1"/>
    <col min="14" max="14" width="16.125" customWidth="1"/>
    <col min="15" max="15" width="16" customWidth="1"/>
    <col min="17" max="17" width="12.375" customWidth="1"/>
  </cols>
  <sheetData>
    <row r="1" spans="1:17" ht="30" customHeight="1">
      <c r="A1" s="158"/>
      <c r="B1" s="158"/>
      <c r="C1" s="159" t="s">
        <v>492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7" ht="14.25" customHeight="1">
      <c r="A2" s="158"/>
      <c r="B2" s="158"/>
      <c r="C2" s="160" t="str">
        <f>'Orçamento '!C3:I3</f>
        <v>OBRA: EXECUÇÃO DE OBRAS PARA IMPLANTAÇÃO DA AVENIDA MARGINAL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7" ht="43.5" customHeight="1">
      <c r="A3" s="158"/>
      <c r="B3" s="158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7" ht="15.75">
      <c r="A4" s="161"/>
      <c r="B4" s="161"/>
      <c r="C4" s="161"/>
      <c r="D4" s="161"/>
      <c r="E4" s="161"/>
      <c r="F4" s="161"/>
      <c r="G4" s="161"/>
    </row>
    <row r="5" spans="1:17">
      <c r="A5" s="153" t="s">
        <v>8</v>
      </c>
      <c r="B5" s="153" t="s">
        <v>493</v>
      </c>
      <c r="C5" s="62" t="s">
        <v>494</v>
      </c>
      <c r="D5" s="62" t="s">
        <v>495</v>
      </c>
      <c r="E5" s="62" t="s">
        <v>496</v>
      </c>
      <c r="F5" s="62" t="s">
        <v>497</v>
      </c>
      <c r="G5" s="62" t="s">
        <v>498</v>
      </c>
      <c r="H5" s="62" t="s">
        <v>499</v>
      </c>
      <c r="I5" s="62" t="s">
        <v>500</v>
      </c>
      <c r="J5" s="62" t="s">
        <v>501</v>
      </c>
      <c r="K5" s="62" t="s">
        <v>502</v>
      </c>
      <c r="L5" s="62" t="s">
        <v>503</v>
      </c>
      <c r="M5" s="62" t="s">
        <v>504</v>
      </c>
      <c r="N5" s="62" t="s">
        <v>505</v>
      </c>
      <c r="O5" s="62" t="s">
        <v>506</v>
      </c>
    </row>
    <row r="6" spans="1:17">
      <c r="A6" s="153"/>
      <c r="B6" s="153"/>
      <c r="C6" s="62" t="s">
        <v>507</v>
      </c>
      <c r="D6" s="62" t="s">
        <v>508</v>
      </c>
      <c r="E6" s="62" t="s">
        <v>508</v>
      </c>
      <c r="F6" s="62" t="s">
        <v>508</v>
      </c>
      <c r="G6" s="62" t="s">
        <v>508</v>
      </c>
      <c r="H6" s="62" t="s">
        <v>508</v>
      </c>
      <c r="I6" s="62" t="s">
        <v>508</v>
      </c>
      <c r="J6" s="62" t="s">
        <v>508</v>
      </c>
      <c r="K6" s="62" t="s">
        <v>508</v>
      </c>
      <c r="L6" s="62" t="s">
        <v>508</v>
      </c>
      <c r="M6" s="62" t="s">
        <v>508</v>
      </c>
      <c r="N6" s="62" t="s">
        <v>508</v>
      </c>
      <c r="O6" s="62" t="s">
        <v>508</v>
      </c>
    </row>
    <row r="7" spans="1:17">
      <c r="A7" s="154">
        <v>1</v>
      </c>
      <c r="B7" s="155" t="str">
        <f>'Orçamento '!B9:H9</f>
        <v>Serviços Preliminares</v>
      </c>
      <c r="C7" s="63">
        <f>C9/$C$58</f>
        <v>0.13520987548018198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Q7" s="65">
        <f>SUM(D7:O7)</f>
        <v>0</v>
      </c>
    </row>
    <row r="8" spans="1:17">
      <c r="A8" s="154"/>
      <c r="B8" s="155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7">
      <c r="A9" s="154"/>
      <c r="B9" s="155"/>
      <c r="C9" s="66">
        <f>'Orçamento '!I9</f>
        <v>3788911.46</v>
      </c>
      <c r="D9" s="66">
        <f t="shared" ref="D9:O9" si="0">D7*$C9</f>
        <v>0</v>
      </c>
      <c r="E9" s="66">
        <f t="shared" si="0"/>
        <v>0</v>
      </c>
      <c r="F9" s="66">
        <f t="shared" si="0"/>
        <v>0</v>
      </c>
      <c r="G9" s="66">
        <f t="shared" si="0"/>
        <v>0</v>
      </c>
      <c r="H9" s="66">
        <f t="shared" si="0"/>
        <v>0</v>
      </c>
      <c r="I9" s="66">
        <f t="shared" si="0"/>
        <v>0</v>
      </c>
      <c r="J9" s="66">
        <f t="shared" si="0"/>
        <v>0</v>
      </c>
      <c r="K9" s="66">
        <f t="shared" si="0"/>
        <v>0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</row>
    <row r="10" spans="1:17" ht="14.25" customHeight="1">
      <c r="A10" s="154">
        <v>2</v>
      </c>
      <c r="B10" s="155" t="str">
        <f>'Orçamento '!B30:H30</f>
        <v>Administração Local</v>
      </c>
      <c r="C10" s="63">
        <f>C12/$C$58</f>
        <v>3.3092014655412921E-2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Q10" s="65">
        <f>SUM(D10:O10)</f>
        <v>0</v>
      </c>
    </row>
    <row r="11" spans="1:17" ht="14.25" customHeight="1">
      <c r="A11" s="154"/>
      <c r="B11" s="155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7" ht="14.25" customHeight="1">
      <c r="A12" s="154"/>
      <c r="B12" s="155"/>
      <c r="C12" s="66">
        <f>'Orçamento '!I30</f>
        <v>927319.2</v>
      </c>
      <c r="D12" s="66">
        <f t="shared" ref="D12:O12" si="1">D10*$C12</f>
        <v>0</v>
      </c>
      <c r="E12" s="66">
        <f t="shared" si="1"/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  <c r="L12" s="66">
        <f t="shared" si="1"/>
        <v>0</v>
      </c>
      <c r="M12" s="66">
        <f t="shared" si="1"/>
        <v>0</v>
      </c>
      <c r="N12" s="66">
        <f t="shared" si="1"/>
        <v>0</v>
      </c>
      <c r="O12" s="66">
        <f t="shared" si="1"/>
        <v>0</v>
      </c>
    </row>
    <row r="13" spans="1:17" ht="14.25" customHeight="1">
      <c r="A13" s="154">
        <v>3</v>
      </c>
      <c r="B13" s="155" t="str">
        <f>'Orçamento '!B40:H40</f>
        <v>Projetos e Controle Tecnológico</v>
      </c>
      <c r="C13" s="63">
        <f>C15/$C$58</f>
        <v>2.4406934189923411E-3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Q13" s="65">
        <f>SUM(D13:O13)</f>
        <v>0</v>
      </c>
    </row>
    <row r="14" spans="1:17" ht="14.25" customHeight="1">
      <c r="A14" s="154"/>
      <c r="B14" s="155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7" ht="14.25" customHeight="1">
      <c r="A15" s="154"/>
      <c r="B15" s="155"/>
      <c r="C15" s="66">
        <f>'Orçamento '!I40</f>
        <v>68394.2</v>
      </c>
      <c r="D15" s="66">
        <f>D13*$C15</f>
        <v>0</v>
      </c>
      <c r="E15" s="66">
        <f>E13*$C15</f>
        <v>0</v>
      </c>
      <c r="F15" s="66"/>
      <c r="G15" s="66">
        <f>G13*$C15</f>
        <v>0</v>
      </c>
      <c r="H15" s="66"/>
      <c r="I15" s="66">
        <f>I13*$C15</f>
        <v>0</v>
      </c>
      <c r="J15" s="66"/>
      <c r="K15" s="66"/>
      <c r="L15" s="66"/>
      <c r="M15" s="66"/>
      <c r="N15" s="66"/>
      <c r="O15" s="66">
        <f>O13*$C15</f>
        <v>0</v>
      </c>
    </row>
    <row r="16" spans="1:17" ht="14.25" customHeight="1">
      <c r="A16" s="154">
        <v>4</v>
      </c>
      <c r="B16" s="155" t="str">
        <f>'Orçamento '!B45:H45</f>
        <v>Demolições de pavimento e barreiras de contenção</v>
      </c>
      <c r="C16" s="63">
        <f>C18/$C$58</f>
        <v>3.0761268811272183E-3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6"/>
      <c r="Q16" s="65">
        <f>SUM(D16:O16)</f>
        <v>0</v>
      </c>
    </row>
    <row r="17" spans="1:17" ht="14.25" customHeight="1">
      <c r="A17" s="154"/>
      <c r="B17" s="15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6"/>
      <c r="Q17" s="65"/>
    </row>
    <row r="18" spans="1:17" ht="14.25" customHeight="1">
      <c r="A18" s="154"/>
      <c r="B18" s="155"/>
      <c r="C18" s="66">
        <f>'Orçamento '!I45</f>
        <v>86200.599999999991</v>
      </c>
      <c r="D18" s="66">
        <f>D16*$C18</f>
        <v>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7" ht="14.25" customHeight="1">
      <c r="A19" s="154">
        <v>5</v>
      </c>
      <c r="B19" s="155" t="str">
        <f>'Orçamento '!B51:H51</f>
        <v>Drenagem de águas pluviais</v>
      </c>
      <c r="C19" s="63">
        <f>C21/$C$58</f>
        <v>0.13528341759659918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Q19" s="65">
        <f>SUM(D19:O19)</f>
        <v>0</v>
      </c>
    </row>
    <row r="20" spans="1:17" ht="14.25" customHeight="1">
      <c r="A20" s="154"/>
      <c r="B20" s="155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4"/>
      <c r="O20" s="64"/>
    </row>
    <row r="21" spans="1:17" ht="14.25" customHeight="1">
      <c r="A21" s="154"/>
      <c r="B21" s="155"/>
      <c r="C21" s="66">
        <f>'Orçamento '!I51</f>
        <v>3790972.2899999996</v>
      </c>
      <c r="D21" s="66">
        <f t="shared" ref="D21:I21" si="2">D19*$C21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/>
      <c r="K21" s="66"/>
      <c r="L21" s="66"/>
      <c r="M21" s="66"/>
      <c r="N21" s="66"/>
      <c r="O21" s="66"/>
    </row>
    <row r="22" spans="1:17" ht="14.25" customHeight="1">
      <c r="A22" s="154">
        <v>6</v>
      </c>
      <c r="B22" s="155" t="str">
        <f>'Orçamento '!B71:H71</f>
        <v>Pavimentação Asfáltica - Avenida</v>
      </c>
      <c r="C22" s="63">
        <f>C24/$C$58</f>
        <v>0.15274416733566401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Q22" s="65">
        <f>SUM(D22:O22)</f>
        <v>0</v>
      </c>
    </row>
    <row r="23" spans="1:17" ht="14.25" customHeight="1">
      <c r="A23" s="154"/>
      <c r="B23" s="155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7" ht="14.25" customHeight="1">
      <c r="A24" s="154"/>
      <c r="B24" s="155"/>
      <c r="C24" s="66">
        <f>'Orçamento '!I71</f>
        <v>4280265.21</v>
      </c>
      <c r="D24" s="66"/>
      <c r="E24" s="66"/>
      <c r="F24" s="66"/>
      <c r="G24" s="66">
        <f t="shared" ref="G24:M24" si="3">G22*$C24</f>
        <v>0</v>
      </c>
      <c r="H24" s="66">
        <f t="shared" si="3"/>
        <v>0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/>
      <c r="O24" s="66"/>
    </row>
    <row r="25" spans="1:17" ht="14.25" customHeight="1">
      <c r="A25" s="154">
        <v>7</v>
      </c>
      <c r="B25" s="155" t="str">
        <f>'Orçamento '!B80:H80</f>
        <v>Pavimentação Asfáltica - Sobre Aduelas</v>
      </c>
      <c r="C25" s="63">
        <f>C27/$C$58</f>
        <v>1.0679994814542636E-2</v>
      </c>
      <c r="D25" s="66"/>
      <c r="E25" s="66"/>
      <c r="F25" s="66"/>
      <c r="G25" s="66"/>
      <c r="H25" s="66"/>
      <c r="I25" s="64"/>
      <c r="J25" s="66"/>
      <c r="K25" s="66"/>
      <c r="L25" s="66"/>
      <c r="M25" s="66"/>
      <c r="N25" s="66"/>
      <c r="O25" s="66"/>
      <c r="Q25" s="65">
        <f>SUM(D25:O25)</f>
        <v>0</v>
      </c>
    </row>
    <row r="26" spans="1:17" ht="14.25" customHeight="1">
      <c r="A26" s="154"/>
      <c r="B26" s="155"/>
      <c r="C26" s="66"/>
      <c r="D26" s="66"/>
      <c r="E26" s="66"/>
      <c r="F26" s="66"/>
      <c r="G26" s="66"/>
      <c r="H26" s="66"/>
      <c r="I26" s="67"/>
      <c r="J26" s="66"/>
      <c r="K26" s="66"/>
      <c r="L26" s="66"/>
      <c r="M26" s="66"/>
      <c r="N26" s="66"/>
      <c r="O26" s="66"/>
    </row>
    <row r="27" spans="1:17" ht="14.25" customHeight="1">
      <c r="A27" s="154"/>
      <c r="B27" s="155"/>
      <c r="C27" s="66">
        <f>'Orçamento '!I80</f>
        <v>299279.58</v>
      </c>
      <c r="D27" s="66"/>
      <c r="E27" s="66"/>
      <c r="F27" s="66"/>
      <c r="G27" s="66"/>
      <c r="H27" s="66"/>
      <c r="I27" s="66">
        <f>I25*$C27</f>
        <v>0</v>
      </c>
      <c r="J27" s="66"/>
      <c r="K27" s="66"/>
      <c r="L27" s="66"/>
      <c r="M27" s="66"/>
      <c r="N27" s="66"/>
      <c r="O27" s="66"/>
    </row>
    <row r="28" spans="1:17" ht="14.25" customHeight="1">
      <c r="A28" s="154">
        <v>8</v>
      </c>
      <c r="B28" s="155" t="str">
        <f>'Orçamento '!B91:H91</f>
        <v>Recapeamento Asfáltico</v>
      </c>
      <c r="C28" s="63">
        <f>C30/$C$58</f>
        <v>1.3005324286430545E-3</v>
      </c>
      <c r="D28" s="66"/>
      <c r="E28" s="66"/>
      <c r="F28" s="66"/>
      <c r="G28" s="66"/>
      <c r="H28" s="66"/>
      <c r="I28" s="66"/>
      <c r="J28" s="64"/>
      <c r="K28" s="66"/>
      <c r="L28" s="66"/>
      <c r="M28" s="66"/>
      <c r="N28" s="66"/>
      <c r="O28" s="66"/>
      <c r="Q28" s="65">
        <f>SUM(D28:O28)</f>
        <v>0</v>
      </c>
    </row>
    <row r="29" spans="1:17" ht="14.25" customHeight="1">
      <c r="A29" s="154"/>
      <c r="B29" s="155"/>
      <c r="C29" s="66"/>
      <c r="D29" s="66"/>
      <c r="E29" s="66"/>
      <c r="F29" s="66"/>
      <c r="G29" s="66"/>
      <c r="H29" s="66"/>
      <c r="I29" s="66"/>
      <c r="J29" s="67"/>
      <c r="K29" s="66"/>
      <c r="L29" s="66"/>
      <c r="M29" s="66"/>
      <c r="N29" s="66"/>
      <c r="O29" s="66"/>
    </row>
    <row r="30" spans="1:17" ht="14.25" customHeight="1">
      <c r="A30" s="154"/>
      <c r="B30" s="155"/>
      <c r="C30" s="66">
        <f>'Orçamento '!I91</f>
        <v>36444.100000000006</v>
      </c>
      <c r="D30" s="66"/>
      <c r="E30" s="66"/>
      <c r="F30" s="66"/>
      <c r="G30" s="66"/>
      <c r="H30" s="66"/>
      <c r="I30" s="66"/>
      <c r="J30" s="66">
        <f>J28*$C30</f>
        <v>0</v>
      </c>
      <c r="K30" s="66"/>
      <c r="L30" s="66"/>
      <c r="M30" s="66"/>
      <c r="N30" s="66"/>
      <c r="O30" s="66"/>
    </row>
    <row r="31" spans="1:17" ht="14.25" customHeight="1">
      <c r="A31" s="154">
        <v>9</v>
      </c>
      <c r="B31" s="155" t="str">
        <f>'Orçamento '!B96:H96</f>
        <v>Passeio em concreto</v>
      </c>
      <c r="C31" s="63">
        <f>C33/$C$58</f>
        <v>2.0355555904450467E-2</v>
      </c>
      <c r="D31" s="66"/>
      <c r="E31" s="66"/>
      <c r="F31" s="66"/>
      <c r="G31" s="66"/>
      <c r="H31" s="66"/>
      <c r="I31" s="66"/>
      <c r="J31" s="66"/>
      <c r="K31" s="66"/>
      <c r="L31" s="64"/>
      <c r="M31" s="64"/>
      <c r="N31" s="64"/>
      <c r="O31" s="66"/>
      <c r="Q31" s="65">
        <f>SUM(D31:O31)</f>
        <v>0</v>
      </c>
    </row>
    <row r="32" spans="1:17" ht="14.25" customHeight="1">
      <c r="A32" s="154"/>
      <c r="B32" s="155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67"/>
      <c r="N32" s="67"/>
      <c r="O32" s="66"/>
    </row>
    <row r="33" spans="1:17" ht="14.25" customHeight="1">
      <c r="A33" s="154"/>
      <c r="B33" s="155"/>
      <c r="C33" s="66">
        <f>'Orçamento '!I96</f>
        <v>570412.47</v>
      </c>
      <c r="D33" s="66"/>
      <c r="E33" s="66"/>
      <c r="F33" s="66"/>
      <c r="G33" s="66"/>
      <c r="H33" s="66"/>
      <c r="I33" s="66"/>
      <c r="J33" s="66"/>
      <c r="K33" s="66"/>
      <c r="L33" s="66">
        <f>L31*$C33</f>
        <v>0</v>
      </c>
      <c r="M33" s="66">
        <f>M31*$C33</f>
        <v>0</v>
      </c>
      <c r="N33" s="66">
        <f>N31*$C33</f>
        <v>0</v>
      </c>
      <c r="O33" s="66"/>
    </row>
    <row r="34" spans="1:17" ht="14.25" customHeight="1">
      <c r="A34" s="154">
        <v>10</v>
      </c>
      <c r="B34" s="155" t="str">
        <f>'Orçamento '!B101:H101</f>
        <v>Proteção e fechamentos</v>
      </c>
      <c r="C34" s="63">
        <f>C36/$C$58</f>
        <v>5.1699591826390806E-2</v>
      </c>
      <c r="D34" s="64"/>
      <c r="E34" s="64"/>
      <c r="F34" s="64"/>
      <c r="G34" s="64"/>
      <c r="H34" s="64"/>
      <c r="I34" s="64"/>
      <c r="J34" s="66"/>
      <c r="K34" s="66"/>
      <c r="L34" s="66"/>
      <c r="M34" s="66"/>
      <c r="N34" s="66"/>
      <c r="O34" s="66"/>
      <c r="Q34" s="65">
        <f>SUM(D34:O34)</f>
        <v>0</v>
      </c>
    </row>
    <row r="35" spans="1:17" ht="14.25" customHeight="1">
      <c r="A35" s="154"/>
      <c r="B35" s="155"/>
      <c r="C35" s="66"/>
      <c r="D35" s="67"/>
      <c r="E35" s="67"/>
      <c r="F35" s="67"/>
      <c r="G35" s="67"/>
      <c r="H35" s="67"/>
      <c r="I35" s="67"/>
      <c r="J35" s="66"/>
      <c r="K35" s="66"/>
      <c r="L35" s="66"/>
      <c r="M35" s="66"/>
      <c r="N35" s="66"/>
      <c r="O35" s="66"/>
      <c r="Q35" s="65"/>
    </row>
    <row r="36" spans="1:17" ht="14.25" customHeight="1">
      <c r="A36" s="154"/>
      <c r="B36" s="155"/>
      <c r="C36" s="66">
        <f>'Orçamento '!I101</f>
        <v>1448749.03</v>
      </c>
      <c r="D36" s="66">
        <f t="shared" ref="D36:I36" si="4">D34*$C36</f>
        <v>0</v>
      </c>
      <c r="E36" s="66">
        <f t="shared" si="4"/>
        <v>0</v>
      </c>
      <c r="F36" s="66">
        <f t="shared" si="4"/>
        <v>0</v>
      </c>
      <c r="G36" s="66">
        <f t="shared" si="4"/>
        <v>0</v>
      </c>
      <c r="H36" s="66">
        <f t="shared" si="4"/>
        <v>0</v>
      </c>
      <c r="I36" s="66">
        <f t="shared" si="4"/>
        <v>0</v>
      </c>
      <c r="J36" s="66"/>
      <c r="K36" s="66"/>
      <c r="L36" s="66"/>
      <c r="M36" s="66"/>
      <c r="N36" s="66"/>
      <c r="O36" s="66"/>
    </row>
    <row r="37" spans="1:17" ht="14.25" customHeight="1">
      <c r="A37" s="154">
        <v>11</v>
      </c>
      <c r="B37" s="155" t="str">
        <f>'Orçamento '!B108:H108</f>
        <v>Sinalização Viária</v>
      </c>
      <c r="C37" s="63">
        <f>C39/$C$58</f>
        <v>3.9442089834199452E-2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4"/>
      <c r="O37" s="64"/>
      <c r="Q37" s="65">
        <f>SUM(D37:O37)</f>
        <v>0</v>
      </c>
    </row>
    <row r="38" spans="1:17" ht="14.25" customHeight="1">
      <c r="A38" s="154"/>
      <c r="B38" s="15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67"/>
    </row>
    <row r="39" spans="1:17" ht="14.25" customHeight="1">
      <c r="A39" s="154"/>
      <c r="B39" s="155"/>
      <c r="C39" s="66">
        <f>'Orçamento '!I108</f>
        <v>1105263.8400000001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>
        <f>N37*$C39</f>
        <v>0</v>
      </c>
      <c r="O39" s="66">
        <f>O37*$C39</f>
        <v>0</v>
      </c>
    </row>
    <row r="40" spans="1:17" ht="14.25" customHeight="1">
      <c r="A40" s="154">
        <v>12</v>
      </c>
      <c r="B40" s="155" t="str">
        <f>'Orçamento '!B113:H113</f>
        <v>Iluminação Pública</v>
      </c>
      <c r="C40" s="63">
        <f>C42/$C$58</f>
        <v>3.346670178760721E-2</v>
      </c>
      <c r="D40" s="66"/>
      <c r="E40" s="66"/>
      <c r="F40" s="66"/>
      <c r="G40" s="66"/>
      <c r="H40" s="66"/>
      <c r="I40" s="64"/>
      <c r="J40" s="64"/>
      <c r="K40" s="64"/>
      <c r="L40" s="64"/>
      <c r="M40" s="64"/>
      <c r="N40" s="66"/>
      <c r="O40" s="66"/>
      <c r="Q40" s="65">
        <f>SUM(D40:O40)</f>
        <v>0</v>
      </c>
    </row>
    <row r="41" spans="1:17" ht="14.25" customHeight="1">
      <c r="A41" s="154"/>
      <c r="B41" s="155"/>
      <c r="C41" s="66"/>
      <c r="D41" s="66"/>
      <c r="E41" s="66"/>
      <c r="F41" s="66"/>
      <c r="G41" s="66"/>
      <c r="H41" s="66"/>
      <c r="I41" s="67"/>
      <c r="J41" s="67"/>
      <c r="K41" s="67"/>
      <c r="L41" s="67"/>
      <c r="M41" s="67"/>
      <c r="N41" s="66"/>
      <c r="O41" s="66"/>
    </row>
    <row r="42" spans="1:17" ht="14.25" customHeight="1">
      <c r="A42" s="154"/>
      <c r="B42" s="155"/>
      <c r="C42" s="66">
        <f>'Orçamento '!I113</f>
        <v>937818.84999999986</v>
      </c>
      <c r="D42" s="66"/>
      <c r="E42" s="66"/>
      <c r="F42" s="66"/>
      <c r="G42" s="66"/>
      <c r="H42" s="66"/>
      <c r="I42" s="66">
        <f>I40*$C42</f>
        <v>0</v>
      </c>
      <c r="J42" s="66">
        <f>J40*$C42</f>
        <v>0</v>
      </c>
      <c r="K42" s="66">
        <f>K40*$C42</f>
        <v>0</v>
      </c>
      <c r="L42" s="66">
        <f>L40*$C42</f>
        <v>0</v>
      </c>
      <c r="M42" s="66">
        <f>M40*$C42</f>
        <v>0</v>
      </c>
      <c r="N42" s="66"/>
      <c r="O42" s="66"/>
    </row>
    <row r="43" spans="1:17" ht="14.25" customHeight="1">
      <c r="A43" s="154">
        <v>13</v>
      </c>
      <c r="B43" s="155" t="str">
        <f>'Orçamento '!B126:H126</f>
        <v>Muro de pedra</v>
      </c>
      <c r="C43" s="63">
        <f>C45/$C$58</f>
        <v>3.145129422407502E-2</v>
      </c>
      <c r="D43" s="66"/>
      <c r="E43" s="64"/>
      <c r="F43" s="64"/>
      <c r="G43" s="64"/>
      <c r="H43" s="64"/>
      <c r="I43" s="66"/>
      <c r="J43" s="66"/>
      <c r="K43" s="66"/>
      <c r="L43" s="66"/>
      <c r="M43" s="66"/>
      <c r="N43" s="66"/>
      <c r="O43" s="66"/>
      <c r="Q43" s="65">
        <f>SUM(D43:O43)</f>
        <v>0</v>
      </c>
    </row>
    <row r="44" spans="1:17" ht="14.25" customHeight="1">
      <c r="A44" s="154"/>
      <c r="B44" s="155"/>
      <c r="C44" s="66"/>
      <c r="D44" s="66"/>
      <c r="E44" s="67"/>
      <c r="F44" s="67"/>
      <c r="G44" s="67"/>
      <c r="H44" s="67"/>
      <c r="I44" s="66"/>
      <c r="J44" s="66"/>
      <c r="K44" s="66"/>
      <c r="L44" s="66"/>
      <c r="M44" s="66"/>
      <c r="N44" s="66"/>
      <c r="O44" s="66"/>
    </row>
    <row r="45" spans="1:17" ht="14.25" customHeight="1">
      <c r="A45" s="154"/>
      <c r="B45" s="155"/>
      <c r="C45" s="66">
        <f>'Orçamento '!I126</f>
        <v>881342.20000000007</v>
      </c>
      <c r="D45" s="66"/>
      <c r="E45" s="66">
        <f>E43*$C45</f>
        <v>0</v>
      </c>
      <c r="F45" s="66">
        <f>F43*$C45</f>
        <v>0</v>
      </c>
      <c r="G45" s="66">
        <f>G43*$C45</f>
        <v>0</v>
      </c>
      <c r="H45" s="66">
        <f>H43*$C45</f>
        <v>0</v>
      </c>
      <c r="I45" s="66"/>
      <c r="J45" s="66"/>
      <c r="K45" s="66"/>
      <c r="L45" s="66"/>
      <c r="M45" s="66"/>
      <c r="N45" s="66"/>
      <c r="O45" s="66"/>
    </row>
    <row r="46" spans="1:17" ht="14.25" customHeight="1">
      <c r="A46" s="154">
        <v>14</v>
      </c>
      <c r="B46" s="155" t="str">
        <f>'Orçamento '!B137:H137</f>
        <v>Concreto projetado</v>
      </c>
      <c r="C46" s="63">
        <f>C48/$C$58</f>
        <v>0.10222057491262866</v>
      </c>
      <c r="D46" s="66"/>
      <c r="E46" s="64"/>
      <c r="F46" s="64"/>
      <c r="G46" s="64"/>
      <c r="H46" s="64"/>
      <c r="I46" s="64"/>
      <c r="J46" s="64"/>
      <c r="K46" s="64"/>
      <c r="L46" s="66"/>
      <c r="M46" s="66"/>
      <c r="N46" s="66"/>
      <c r="O46" s="66"/>
      <c r="Q46" s="65">
        <f>SUM(D46:O46)</f>
        <v>0</v>
      </c>
    </row>
    <row r="47" spans="1:17" ht="14.25" customHeight="1">
      <c r="A47" s="154"/>
      <c r="B47" s="155"/>
      <c r="C47" s="66"/>
      <c r="D47" s="66"/>
      <c r="E47" s="67"/>
      <c r="F47" s="67"/>
      <c r="G47" s="67"/>
      <c r="H47" s="67"/>
      <c r="I47" s="67"/>
      <c r="J47" s="67"/>
      <c r="K47" s="67"/>
      <c r="L47" s="66"/>
      <c r="M47" s="66"/>
      <c r="N47" s="66"/>
      <c r="O47" s="66"/>
    </row>
    <row r="48" spans="1:17" ht="14.25" customHeight="1">
      <c r="A48" s="154"/>
      <c r="B48" s="155"/>
      <c r="C48" s="66">
        <f>'Orçamento '!I137</f>
        <v>2864470.5600000005</v>
      </c>
      <c r="D48" s="66"/>
      <c r="E48" s="66">
        <f t="shared" ref="E48:K48" si="5">E46*$C48</f>
        <v>0</v>
      </c>
      <c r="F48" s="66">
        <f t="shared" si="5"/>
        <v>0</v>
      </c>
      <c r="G48" s="66">
        <f t="shared" si="5"/>
        <v>0</v>
      </c>
      <c r="H48" s="66">
        <f t="shared" si="5"/>
        <v>0</v>
      </c>
      <c r="I48" s="66">
        <f t="shared" si="5"/>
        <v>0</v>
      </c>
      <c r="J48" s="66">
        <f t="shared" si="5"/>
        <v>0</v>
      </c>
      <c r="K48" s="66">
        <f t="shared" si="5"/>
        <v>0</v>
      </c>
      <c r="L48" s="66"/>
      <c r="M48" s="66"/>
      <c r="N48" s="66"/>
      <c r="O48" s="66"/>
    </row>
    <row r="49" spans="1:17" ht="14.25" customHeight="1">
      <c r="A49" s="154">
        <v>15</v>
      </c>
      <c r="B49" s="155" t="str">
        <f>'Orçamento '!B143:H143</f>
        <v>Serviços Complementares</v>
      </c>
      <c r="C49" s="63">
        <f>C51/$C$58</f>
        <v>2.3236599174285007E-2</v>
      </c>
      <c r="D49" s="66"/>
      <c r="E49" s="66"/>
      <c r="F49" s="66"/>
      <c r="G49" s="66"/>
      <c r="H49" s="64"/>
      <c r="I49" s="64"/>
      <c r="J49" s="64"/>
      <c r="K49" s="64"/>
      <c r="L49" s="66"/>
      <c r="M49" s="66"/>
      <c r="N49" s="66"/>
      <c r="O49" s="66"/>
      <c r="Q49" s="65">
        <f>SUM(D49:O49)</f>
        <v>0</v>
      </c>
    </row>
    <row r="50" spans="1:17" ht="14.25" customHeight="1">
      <c r="A50" s="154"/>
      <c r="B50" s="155"/>
      <c r="C50" s="66"/>
      <c r="D50" s="66"/>
      <c r="E50" s="66"/>
      <c r="F50" s="66"/>
      <c r="G50" s="66"/>
      <c r="H50" s="67"/>
      <c r="I50" s="67"/>
      <c r="J50" s="67"/>
      <c r="K50" s="67"/>
      <c r="L50" s="66"/>
      <c r="M50" s="66"/>
      <c r="N50" s="66"/>
      <c r="O50" s="66"/>
    </row>
    <row r="51" spans="1:17" ht="14.25" customHeight="1">
      <c r="A51" s="154"/>
      <c r="B51" s="155"/>
      <c r="C51" s="66">
        <f>'Orçamento '!I143</f>
        <v>651146.35</v>
      </c>
      <c r="D51" s="66"/>
      <c r="E51" s="66"/>
      <c r="F51" s="66"/>
      <c r="G51" s="66"/>
      <c r="H51" s="66">
        <f>H49*$C51</f>
        <v>0</v>
      </c>
      <c r="I51" s="66">
        <f>I49*$C51</f>
        <v>0</v>
      </c>
      <c r="J51" s="66">
        <f>J49*$C51</f>
        <v>0</v>
      </c>
      <c r="K51" s="66">
        <f>K49*$C51</f>
        <v>0</v>
      </c>
      <c r="L51" s="66"/>
      <c r="M51" s="66"/>
      <c r="N51" s="66"/>
      <c r="O51" s="66"/>
    </row>
    <row r="52" spans="1:17" ht="14.25" customHeight="1">
      <c r="A52" s="154">
        <v>16</v>
      </c>
      <c r="B52" s="155" t="str">
        <f>'Orçamento '!B148:H148</f>
        <v>Pontes</v>
      </c>
      <c r="C52" s="63">
        <f>C54/$C$58</f>
        <v>0.16807238518958145</v>
      </c>
      <c r="D52" s="66"/>
      <c r="E52" s="67"/>
      <c r="F52" s="64"/>
      <c r="G52" s="64"/>
      <c r="H52" s="64"/>
      <c r="I52" s="64"/>
      <c r="J52" s="64"/>
      <c r="K52" s="64"/>
      <c r="L52" s="64"/>
      <c r="M52" s="64"/>
      <c r="N52" s="64"/>
      <c r="O52" s="66"/>
      <c r="Q52" s="65">
        <f>SUM(D52:O52)</f>
        <v>0</v>
      </c>
    </row>
    <row r="53" spans="1:17" ht="14.25" customHeight="1">
      <c r="A53" s="154"/>
      <c r="B53" s="155"/>
      <c r="C53" s="66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6"/>
      <c r="Q53" s="65"/>
    </row>
    <row r="54" spans="1:17" ht="14.25" customHeight="1">
      <c r="A54" s="154"/>
      <c r="B54" s="155"/>
      <c r="C54" s="66">
        <f>'Orçamento '!I148</f>
        <v>4709799.3699999992</v>
      </c>
      <c r="D54" s="66"/>
      <c r="E54" s="68"/>
      <c r="F54" s="66">
        <f t="shared" ref="F54:N54" si="6">F52*$C54</f>
        <v>0</v>
      </c>
      <c r="G54" s="66">
        <f t="shared" si="6"/>
        <v>0</v>
      </c>
      <c r="H54" s="66">
        <f t="shared" si="6"/>
        <v>0</v>
      </c>
      <c r="I54" s="66">
        <f t="shared" si="6"/>
        <v>0</v>
      </c>
      <c r="J54" s="66">
        <f t="shared" si="6"/>
        <v>0</v>
      </c>
      <c r="K54" s="66">
        <f t="shared" si="6"/>
        <v>0</v>
      </c>
      <c r="L54" s="66">
        <f t="shared" si="6"/>
        <v>0</v>
      </c>
      <c r="M54" s="66">
        <f t="shared" si="6"/>
        <v>0</v>
      </c>
      <c r="N54" s="66">
        <f t="shared" si="6"/>
        <v>0</v>
      </c>
      <c r="O54" s="66"/>
    </row>
    <row r="55" spans="1:17" ht="14.25" customHeight="1">
      <c r="A55" s="154">
        <v>17</v>
      </c>
      <c r="B55" s="155" t="str">
        <f>'Orçamento '!B190:H190</f>
        <v>Rede de água e esgoto SABESP</v>
      </c>
      <c r="C55" s="63">
        <f>C57/$C$58</f>
        <v>5.622838453561859E-2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Q55" s="65">
        <f>SUM(D55:O55)</f>
        <v>0</v>
      </c>
    </row>
    <row r="56" spans="1:17" ht="14.25" customHeight="1">
      <c r="A56" s="154"/>
      <c r="B56" s="155"/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4"/>
    </row>
    <row r="57" spans="1:17" ht="14.25" customHeight="1">
      <c r="A57" s="154"/>
      <c r="B57" s="155"/>
      <c r="C57" s="66">
        <f>'Orçamento '!I190</f>
        <v>1575656.88</v>
      </c>
      <c r="D57" s="66">
        <f>D55*$C57</f>
        <v>0</v>
      </c>
      <c r="E57" s="66">
        <f>E55*$C57</f>
        <v>0</v>
      </c>
      <c r="F57" s="66">
        <f>F55*$C57</f>
        <v>0</v>
      </c>
      <c r="G57" s="66">
        <f>G55*$C57</f>
        <v>0</v>
      </c>
      <c r="H57" s="66"/>
      <c r="I57" s="66"/>
      <c r="J57" s="66"/>
      <c r="K57" s="66"/>
      <c r="L57" s="66"/>
      <c r="M57" s="66"/>
      <c r="N57" s="66"/>
      <c r="O57" s="66"/>
    </row>
    <row r="58" spans="1:17">
      <c r="A58" s="156" t="s">
        <v>509</v>
      </c>
      <c r="B58" s="156"/>
      <c r="C58" s="62">
        <f>C24+C21+C12+C15+C18+C9+C57+C27+C30+C33+C36+C39+C42+C45+C48+C51+C54</f>
        <v>28022446.189999998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1:17" ht="14.25" customHeight="1">
      <c r="A59" s="157" t="s">
        <v>510</v>
      </c>
      <c r="B59" s="157"/>
      <c r="C59" s="70" t="s">
        <v>511</v>
      </c>
      <c r="D59" s="71">
        <f t="shared" ref="D59:O59" si="7">D24+D21+D15+D12+D9+D57+D27+D30+D33+D36+D39+D42+D45+D48+D51+D54+D18</f>
        <v>0</v>
      </c>
      <c r="E59" s="71">
        <f t="shared" si="7"/>
        <v>0</v>
      </c>
      <c r="F59" s="71">
        <f t="shared" si="7"/>
        <v>0</v>
      </c>
      <c r="G59" s="71">
        <f t="shared" si="7"/>
        <v>0</v>
      </c>
      <c r="H59" s="71">
        <f t="shared" si="7"/>
        <v>0</v>
      </c>
      <c r="I59" s="71">
        <f t="shared" si="7"/>
        <v>0</v>
      </c>
      <c r="J59" s="71">
        <f t="shared" si="7"/>
        <v>0</v>
      </c>
      <c r="K59" s="71">
        <f t="shared" si="7"/>
        <v>0</v>
      </c>
      <c r="L59" s="71">
        <f t="shared" si="7"/>
        <v>0</v>
      </c>
      <c r="M59" s="71">
        <f t="shared" si="7"/>
        <v>0</v>
      </c>
      <c r="N59" s="71">
        <f t="shared" si="7"/>
        <v>0</v>
      </c>
      <c r="O59" s="71">
        <f t="shared" si="7"/>
        <v>0</v>
      </c>
    </row>
    <row r="60" spans="1:17">
      <c r="A60" s="157"/>
      <c r="B60" s="157"/>
      <c r="C60" s="70" t="s">
        <v>512</v>
      </c>
      <c r="D60" s="71">
        <f>D59</f>
        <v>0</v>
      </c>
      <c r="E60" s="71">
        <f t="shared" ref="E60:O60" si="8">E59+D60</f>
        <v>0</v>
      </c>
      <c r="F60" s="71">
        <f t="shared" si="8"/>
        <v>0</v>
      </c>
      <c r="G60" s="71">
        <f t="shared" si="8"/>
        <v>0</v>
      </c>
      <c r="H60" s="71">
        <f t="shared" si="8"/>
        <v>0</v>
      </c>
      <c r="I60" s="71">
        <f t="shared" si="8"/>
        <v>0</v>
      </c>
      <c r="J60" s="71">
        <f t="shared" si="8"/>
        <v>0</v>
      </c>
      <c r="K60" s="71">
        <f t="shared" si="8"/>
        <v>0</v>
      </c>
      <c r="L60" s="71">
        <f t="shared" si="8"/>
        <v>0</v>
      </c>
      <c r="M60" s="71">
        <f t="shared" si="8"/>
        <v>0</v>
      </c>
      <c r="N60" s="71">
        <f t="shared" si="8"/>
        <v>0</v>
      </c>
      <c r="O60" s="71">
        <f t="shared" si="8"/>
        <v>0</v>
      </c>
    </row>
    <row r="61" spans="1:17">
      <c r="A61" s="153" t="s">
        <v>513</v>
      </c>
      <c r="B61" s="153"/>
      <c r="C61" s="70" t="s">
        <v>511</v>
      </c>
      <c r="D61" s="63">
        <f t="shared" ref="D61:O61" si="9">D59/$C$58</f>
        <v>0</v>
      </c>
      <c r="E61" s="63">
        <f t="shared" si="9"/>
        <v>0</v>
      </c>
      <c r="F61" s="63">
        <f t="shared" si="9"/>
        <v>0</v>
      </c>
      <c r="G61" s="63">
        <f t="shared" si="9"/>
        <v>0</v>
      </c>
      <c r="H61" s="63">
        <f t="shared" si="9"/>
        <v>0</v>
      </c>
      <c r="I61" s="63">
        <f t="shared" si="9"/>
        <v>0</v>
      </c>
      <c r="J61" s="63">
        <f t="shared" si="9"/>
        <v>0</v>
      </c>
      <c r="K61" s="63">
        <f t="shared" si="9"/>
        <v>0</v>
      </c>
      <c r="L61" s="63">
        <f t="shared" si="9"/>
        <v>0</v>
      </c>
      <c r="M61" s="63">
        <f t="shared" si="9"/>
        <v>0</v>
      </c>
      <c r="N61" s="63">
        <f t="shared" si="9"/>
        <v>0</v>
      </c>
      <c r="O61" s="63">
        <f t="shared" si="9"/>
        <v>0</v>
      </c>
    </row>
    <row r="62" spans="1:17">
      <c r="A62" s="153"/>
      <c r="B62" s="153"/>
      <c r="C62" s="70" t="s">
        <v>512</v>
      </c>
      <c r="D62" s="69">
        <f>D61</f>
        <v>0</v>
      </c>
      <c r="E62" s="69">
        <f t="shared" ref="E62:O62" si="10">E61+D62</f>
        <v>0</v>
      </c>
      <c r="F62" s="69">
        <f t="shared" si="10"/>
        <v>0</v>
      </c>
      <c r="G62" s="69">
        <f t="shared" si="10"/>
        <v>0</v>
      </c>
      <c r="H62" s="69">
        <f t="shared" si="10"/>
        <v>0</v>
      </c>
      <c r="I62" s="69">
        <f t="shared" si="10"/>
        <v>0</v>
      </c>
      <c r="J62" s="69">
        <f t="shared" si="10"/>
        <v>0</v>
      </c>
      <c r="K62" s="69">
        <f t="shared" si="10"/>
        <v>0</v>
      </c>
      <c r="L62" s="69">
        <f t="shared" si="10"/>
        <v>0</v>
      </c>
      <c r="M62" s="69">
        <f t="shared" si="10"/>
        <v>0</v>
      </c>
      <c r="N62" s="69">
        <f t="shared" si="10"/>
        <v>0</v>
      </c>
      <c r="O62" s="69">
        <f t="shared" si="10"/>
        <v>0</v>
      </c>
    </row>
    <row r="63" spans="1:17">
      <c r="A63" s="72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5" spans="3:15" ht="15" customHeight="1">
      <c r="H65" s="133" t="s">
        <v>514</v>
      </c>
      <c r="I65" s="133"/>
      <c r="J65" s="133"/>
      <c r="K65" s="133"/>
      <c r="L65" s="133"/>
      <c r="M65" s="133"/>
      <c r="N65" s="133"/>
      <c r="O65" s="133"/>
    </row>
    <row r="66" spans="3:15">
      <c r="H66" s="1"/>
      <c r="I66" s="2"/>
      <c r="J66" s="2"/>
      <c r="K66" s="2"/>
      <c r="L66" s="3"/>
      <c r="M66" s="59"/>
      <c r="N66" s="60"/>
      <c r="O66" s="60"/>
    </row>
    <row r="67" spans="3:15">
      <c r="H67" s="1"/>
      <c r="I67" s="2"/>
      <c r="J67" s="2"/>
      <c r="K67" s="2"/>
      <c r="L67" s="3"/>
      <c r="M67" s="59"/>
      <c r="N67" s="60"/>
      <c r="O67" s="60"/>
    </row>
    <row r="68" spans="3:15">
      <c r="H68" s="1"/>
      <c r="I68" s="2"/>
      <c r="J68" s="2"/>
      <c r="K68" s="2"/>
      <c r="L68" s="3"/>
      <c r="M68" s="59"/>
      <c r="N68" s="60"/>
      <c r="O68" s="60"/>
    </row>
    <row r="69" spans="3:15" ht="16.5" customHeight="1">
      <c r="H69" s="133" t="s">
        <v>515</v>
      </c>
      <c r="I69" s="133"/>
      <c r="J69" s="133"/>
      <c r="K69" s="133"/>
      <c r="L69" s="133"/>
      <c r="M69" s="133"/>
      <c r="N69" s="133"/>
      <c r="O69" s="133"/>
    </row>
    <row r="70" spans="3:15" ht="15">
      <c r="H70" s="133" t="s">
        <v>516</v>
      </c>
      <c r="I70" s="133"/>
      <c r="J70" s="133"/>
      <c r="K70" s="133"/>
      <c r="L70" s="133"/>
      <c r="M70" s="133"/>
      <c r="N70" s="133"/>
      <c r="O70" s="133"/>
    </row>
    <row r="71" spans="3:15" ht="15" customHeight="1">
      <c r="C71" s="75"/>
      <c r="D71" s="75"/>
      <c r="H71" s="132" t="s">
        <v>517</v>
      </c>
      <c r="I71" s="132"/>
      <c r="J71" s="132"/>
      <c r="K71" s="132"/>
      <c r="L71" s="132"/>
      <c r="M71" s="132"/>
      <c r="N71" s="132"/>
      <c r="O71" s="132"/>
    </row>
    <row r="73" spans="3:15">
      <c r="E73" s="75"/>
      <c r="F73" s="75"/>
      <c r="G73" s="75"/>
    </row>
    <row r="74" spans="3:15">
      <c r="E74" s="75"/>
      <c r="F74" s="75"/>
      <c r="G74" s="75"/>
    </row>
    <row r="75" spans="3:15">
      <c r="E75" s="75"/>
      <c r="F75" s="75"/>
      <c r="G75" s="75"/>
    </row>
    <row r="76" spans="3:15">
      <c r="E76" s="75"/>
      <c r="F76" s="75"/>
      <c r="G76" s="75"/>
    </row>
    <row r="77" spans="3:15">
      <c r="E77" s="75"/>
      <c r="F77" s="75"/>
      <c r="G77" s="75"/>
    </row>
    <row r="78" spans="3:15">
      <c r="E78" s="75"/>
      <c r="F78" s="75"/>
      <c r="G78" s="75"/>
    </row>
  </sheetData>
  <sheetProtection selectLockedCells="1" selectUnlockedCells="1"/>
  <mergeCells count="47">
    <mergeCell ref="A1:B3"/>
    <mergeCell ref="C1:O1"/>
    <mergeCell ref="C2:O3"/>
    <mergeCell ref="A4:G4"/>
    <mergeCell ref="A5:A6"/>
    <mergeCell ref="B5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59:B60"/>
    <mergeCell ref="A43:A45"/>
    <mergeCell ref="B43:B45"/>
    <mergeCell ref="A46:A48"/>
    <mergeCell ref="B46:B48"/>
    <mergeCell ref="A49:A51"/>
    <mergeCell ref="B49:B51"/>
    <mergeCell ref="A61:B62"/>
    <mergeCell ref="H65:O65"/>
    <mergeCell ref="H69:O69"/>
    <mergeCell ref="H70:O70"/>
    <mergeCell ref="H71:O71"/>
    <mergeCell ref="A52:A54"/>
    <mergeCell ref="B52:B54"/>
    <mergeCell ref="A55:A57"/>
    <mergeCell ref="B55:B57"/>
    <mergeCell ref="A58:B58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paperSize="8" scale="71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Normal="100" zoomScaleSheetLayoutView="50" workbookViewId="0">
      <selection sqref="A1:B3"/>
    </sheetView>
  </sheetViews>
  <sheetFormatPr defaultRowHeight="14.25"/>
  <cols>
    <col min="1" max="1" width="6.75" customWidth="1"/>
    <col min="2" max="2" width="28" customWidth="1"/>
    <col min="3" max="3" width="16" customWidth="1"/>
    <col min="4" max="4" width="14.625" customWidth="1"/>
    <col min="5" max="6" width="15.375" customWidth="1"/>
    <col min="7" max="7" width="15.75" customWidth="1"/>
    <col min="8" max="8" width="21.875" customWidth="1"/>
    <col min="9" max="9" width="13.75" bestFit="1" customWidth="1"/>
    <col min="10" max="10" width="16.875" customWidth="1"/>
    <col min="11" max="11" width="24.5" customWidth="1"/>
    <col min="12" max="13" width="16.875" customWidth="1"/>
    <col min="14" max="14" width="16.125" customWidth="1"/>
    <col min="15" max="15" width="16" customWidth="1"/>
    <col min="17" max="17" width="12.375" customWidth="1"/>
    <col min="19" max="19" width="11.125" customWidth="1"/>
  </cols>
  <sheetData>
    <row r="1" spans="1:19" ht="30" customHeight="1">
      <c r="A1" s="158"/>
      <c r="B1" s="158"/>
      <c r="C1" s="159" t="s">
        <v>492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9" ht="14.25" customHeight="1">
      <c r="A2" s="158"/>
      <c r="B2" s="158"/>
      <c r="C2" s="160" t="str">
        <f>'Orçamento '!C3:I3</f>
        <v>OBRA: EXECUÇÃO DE OBRAS PARA IMPLANTAÇÃO DA AVENIDA MARGINAL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9" ht="43.5" customHeight="1">
      <c r="A3" s="158"/>
      <c r="B3" s="158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9" ht="15.75">
      <c r="A4" s="161"/>
      <c r="B4" s="161"/>
      <c r="C4" s="161"/>
      <c r="D4" s="161"/>
      <c r="E4" s="161"/>
      <c r="F4" s="161"/>
      <c r="G4" s="161"/>
    </row>
    <row r="5" spans="1:19">
      <c r="A5" s="153" t="s">
        <v>8</v>
      </c>
      <c r="B5" s="153" t="s">
        <v>493</v>
      </c>
      <c r="C5" s="62" t="s">
        <v>494</v>
      </c>
      <c r="D5" s="62" t="s">
        <v>495</v>
      </c>
      <c r="E5" s="62" t="s">
        <v>496</v>
      </c>
      <c r="F5" s="62" t="s">
        <v>497</v>
      </c>
      <c r="G5" s="62" t="s">
        <v>498</v>
      </c>
      <c r="H5" s="62" t="s">
        <v>499</v>
      </c>
      <c r="I5" s="62" t="s">
        <v>500</v>
      </c>
      <c r="J5" s="62" t="s">
        <v>501</v>
      </c>
      <c r="K5" s="62" t="s">
        <v>502</v>
      </c>
      <c r="L5" s="62" t="s">
        <v>503</v>
      </c>
      <c r="M5" s="62" t="s">
        <v>504</v>
      </c>
      <c r="N5" s="62" t="s">
        <v>505</v>
      </c>
      <c r="O5" s="62" t="s">
        <v>506</v>
      </c>
    </row>
    <row r="6" spans="1:19">
      <c r="A6" s="153"/>
      <c r="B6" s="153"/>
      <c r="C6" s="62" t="s">
        <v>507</v>
      </c>
      <c r="D6" s="62" t="s">
        <v>508</v>
      </c>
      <c r="E6" s="62" t="s">
        <v>508</v>
      </c>
      <c r="F6" s="62" t="s">
        <v>508</v>
      </c>
      <c r="G6" s="62" t="s">
        <v>508</v>
      </c>
      <c r="H6" s="62" t="s">
        <v>508</v>
      </c>
      <c r="I6" s="62" t="s">
        <v>508</v>
      </c>
      <c r="J6" s="62" t="s">
        <v>508</v>
      </c>
      <c r="K6" s="62" t="s">
        <v>508</v>
      </c>
      <c r="L6" s="62" t="s">
        <v>508</v>
      </c>
      <c r="M6" s="62" t="s">
        <v>508</v>
      </c>
      <c r="N6" s="62" t="s">
        <v>508</v>
      </c>
      <c r="O6" s="62" t="s">
        <v>508</v>
      </c>
    </row>
    <row r="7" spans="1:19">
      <c r="A7" s="154">
        <v>1</v>
      </c>
      <c r="B7" s="155" t="str">
        <f>'Orçamento '!B9:H9</f>
        <v>Serviços Preliminares</v>
      </c>
      <c r="C7" s="63">
        <f>C9/$C$58</f>
        <v>0.13520987548018198</v>
      </c>
      <c r="D7" s="64">
        <v>0.1039866644</v>
      </c>
      <c r="E7" s="64">
        <v>8.1454545449999999E-2</v>
      </c>
      <c r="F7" s="64">
        <v>8.1454545449999999E-2</v>
      </c>
      <c r="G7" s="64">
        <v>8.1454545449999999E-2</v>
      </c>
      <c r="H7" s="64">
        <v>8.1454545449999999E-2</v>
      </c>
      <c r="I7" s="64">
        <v>8.1454545449999999E-2</v>
      </c>
      <c r="J7" s="64">
        <v>8.1454545449999999E-2</v>
      </c>
      <c r="K7" s="64">
        <v>8.1454545449999999E-2</v>
      </c>
      <c r="L7" s="64">
        <v>8.1454545449999999E-2</v>
      </c>
      <c r="M7" s="64">
        <v>8.1454545449999999E-2</v>
      </c>
      <c r="N7" s="64">
        <v>8.1454545449999999E-2</v>
      </c>
      <c r="O7" s="64">
        <v>8.1454545449999999E-2</v>
      </c>
      <c r="Q7" s="65">
        <f>SUM(D7:O7)</f>
        <v>0.99998666434999972</v>
      </c>
      <c r="S7" s="76">
        <f>27924399.19-912156</f>
        <v>27012243.190000001</v>
      </c>
    </row>
    <row r="8" spans="1:19">
      <c r="A8" s="154"/>
      <c r="B8" s="155"/>
      <c r="C8" s="6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9">
      <c r="A9" s="154"/>
      <c r="B9" s="155"/>
      <c r="C9" s="66">
        <f>'Orçamento '!I9</f>
        <v>3788911.46</v>
      </c>
      <c r="D9" s="66">
        <f t="shared" ref="D9:O9" si="0">D7*$C9</f>
        <v>393996.26443233399</v>
      </c>
      <c r="E9" s="66">
        <f t="shared" si="0"/>
        <v>308624.06072459585</v>
      </c>
      <c r="F9" s="66">
        <f t="shared" si="0"/>
        <v>308624.06072459585</v>
      </c>
      <c r="G9" s="66">
        <f t="shared" si="0"/>
        <v>308624.06072459585</v>
      </c>
      <c r="H9" s="66">
        <f t="shared" si="0"/>
        <v>308624.06072459585</v>
      </c>
      <c r="I9" s="66">
        <f t="shared" si="0"/>
        <v>308624.06072459585</v>
      </c>
      <c r="J9" s="66">
        <f t="shared" si="0"/>
        <v>308624.06072459585</v>
      </c>
      <c r="K9" s="66">
        <f t="shared" si="0"/>
        <v>308624.06072459585</v>
      </c>
      <c r="L9" s="66">
        <f t="shared" si="0"/>
        <v>308624.06072459585</v>
      </c>
      <c r="M9" s="66">
        <f t="shared" si="0"/>
        <v>308624.06072459585</v>
      </c>
      <c r="N9" s="66">
        <f t="shared" si="0"/>
        <v>308624.06072459585</v>
      </c>
      <c r="O9" s="66">
        <f t="shared" si="0"/>
        <v>308624.06072459585</v>
      </c>
    </row>
    <row r="10" spans="1:19" ht="14.25" customHeight="1">
      <c r="A10" s="154">
        <v>2</v>
      </c>
      <c r="B10" s="155" t="str">
        <f>'Orçamento '!B30:H30</f>
        <v>Administração Local</v>
      </c>
      <c r="C10" s="63">
        <f>C12/$C$58</f>
        <v>3.3092014655412921E-2</v>
      </c>
      <c r="D10" s="64">
        <v>8.3499999999999991E-2</v>
      </c>
      <c r="E10" s="64">
        <v>8.3499999999999991E-2</v>
      </c>
      <c r="F10" s="64">
        <v>8.3299999999999999E-2</v>
      </c>
      <c r="G10" s="64">
        <v>8.3299999999999999E-2</v>
      </c>
      <c r="H10" s="64">
        <v>8.3299999999999999E-2</v>
      </c>
      <c r="I10" s="64">
        <v>8.3299999999999999E-2</v>
      </c>
      <c r="J10" s="64">
        <v>8.3299999999999999E-2</v>
      </c>
      <c r="K10" s="64">
        <v>8.3299999999999999E-2</v>
      </c>
      <c r="L10" s="64">
        <v>8.3299999999999999E-2</v>
      </c>
      <c r="M10" s="64">
        <v>8.3299999999999999E-2</v>
      </c>
      <c r="N10" s="64">
        <v>8.3299999999999999E-2</v>
      </c>
      <c r="O10" s="64">
        <v>8.3299999999999999E-2</v>
      </c>
      <c r="Q10" s="65">
        <f>SUM(D10:O10)</f>
        <v>1.0000000000000002</v>
      </c>
    </row>
    <row r="11" spans="1:19" ht="14.25" customHeight="1">
      <c r="A11" s="154"/>
      <c r="B11" s="155"/>
      <c r="C11" s="6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9" ht="14.25" customHeight="1">
      <c r="A12" s="154"/>
      <c r="B12" s="155"/>
      <c r="C12" s="66">
        <f>'Orçamento '!I30</f>
        <v>927319.2</v>
      </c>
      <c r="D12" s="66">
        <f t="shared" ref="D12:O12" si="1">D10*$C12</f>
        <v>77431.153199999986</v>
      </c>
      <c r="E12" s="66">
        <f t="shared" si="1"/>
        <v>77431.153199999986</v>
      </c>
      <c r="F12" s="66">
        <f t="shared" si="1"/>
        <v>77245.689359999989</v>
      </c>
      <c r="G12" s="66">
        <f t="shared" si="1"/>
        <v>77245.689359999989</v>
      </c>
      <c r="H12" s="66">
        <f t="shared" si="1"/>
        <v>77245.689359999989</v>
      </c>
      <c r="I12" s="66">
        <f t="shared" si="1"/>
        <v>77245.689359999989</v>
      </c>
      <c r="J12" s="66">
        <f t="shared" si="1"/>
        <v>77245.689359999989</v>
      </c>
      <c r="K12" s="66">
        <f t="shared" si="1"/>
        <v>77245.689359999989</v>
      </c>
      <c r="L12" s="66">
        <f t="shared" si="1"/>
        <v>77245.689359999989</v>
      </c>
      <c r="M12" s="66">
        <f t="shared" si="1"/>
        <v>77245.689359999989</v>
      </c>
      <c r="N12" s="66">
        <f t="shared" si="1"/>
        <v>77245.689359999989</v>
      </c>
      <c r="O12" s="66">
        <f t="shared" si="1"/>
        <v>77245.689359999989</v>
      </c>
    </row>
    <row r="13" spans="1:19" ht="14.25" customHeight="1">
      <c r="A13" s="154">
        <v>3</v>
      </c>
      <c r="B13" s="155" t="str">
        <f>'Orçamento '!B40:H40</f>
        <v>Projetos e Controle Tecnológico</v>
      </c>
      <c r="C13" s="63">
        <f>C15/$C$58</f>
        <v>2.4406934189923411E-3</v>
      </c>
      <c r="D13" s="64">
        <v>0.52557272700000002</v>
      </c>
      <c r="E13" s="64">
        <v>2.104E-2</v>
      </c>
      <c r="F13" s="67"/>
      <c r="G13" s="64">
        <v>2.104E-2</v>
      </c>
      <c r="H13" s="64"/>
      <c r="I13" s="64">
        <v>2.104E-2</v>
      </c>
      <c r="J13" s="64"/>
      <c r="K13" s="64">
        <v>2.104E-2</v>
      </c>
      <c r="L13" s="64"/>
      <c r="M13" s="64">
        <v>2.104E-2</v>
      </c>
      <c r="N13" s="64"/>
      <c r="O13" s="64">
        <v>0.36925091760000001</v>
      </c>
      <c r="Q13" s="65">
        <f>SUM(D13:O13)</f>
        <v>1.0000236445999997</v>
      </c>
    </row>
    <row r="14" spans="1:19" ht="14.25" customHeight="1">
      <c r="A14" s="154"/>
      <c r="B14" s="155"/>
      <c r="C14" s="66"/>
      <c r="D14" s="77"/>
      <c r="E14" s="77"/>
      <c r="F14" s="67"/>
      <c r="G14" s="77"/>
      <c r="H14" s="67"/>
      <c r="I14" s="77"/>
      <c r="J14" s="67"/>
      <c r="K14" s="77"/>
      <c r="L14" s="67"/>
      <c r="M14" s="77"/>
      <c r="N14" s="67"/>
      <c r="O14" s="77"/>
    </row>
    <row r="15" spans="1:19" ht="14.25" customHeight="1">
      <c r="A15" s="154"/>
      <c r="B15" s="155"/>
      <c r="C15" s="66">
        <f>'Orçamento '!I40</f>
        <v>68394.2</v>
      </c>
      <c r="D15" s="66">
        <f>D13*$C15</f>
        <v>35946.126204983397</v>
      </c>
      <c r="E15" s="66">
        <f>E13*$C15</f>
        <v>1439.013968</v>
      </c>
      <c r="F15" s="68"/>
      <c r="G15" s="66">
        <f>G13*$C15</f>
        <v>1439.013968</v>
      </c>
      <c r="H15" s="66"/>
      <c r="I15" s="66">
        <f>I13*$C15</f>
        <v>1439.013968</v>
      </c>
      <c r="J15" s="66"/>
      <c r="K15" s="66">
        <f>K13*$C15</f>
        <v>1439.013968</v>
      </c>
      <c r="L15" s="66"/>
      <c r="M15" s="66">
        <f>M13*$C15</f>
        <v>1439.013968</v>
      </c>
      <c r="N15" s="66"/>
      <c r="O15" s="66">
        <f>O13*$C15</f>
        <v>25254.62110851792</v>
      </c>
    </row>
    <row r="16" spans="1:19" ht="14.25" customHeight="1">
      <c r="A16" s="154">
        <v>4</v>
      </c>
      <c r="B16" s="155" t="str">
        <f>'Orçamento '!B45:H45</f>
        <v>Demolições de pavimento e barreiras de contenção</v>
      </c>
      <c r="C16" s="63">
        <f>C18/$C$58</f>
        <v>3.0761268811272183E-3</v>
      </c>
      <c r="D16" s="64"/>
      <c r="E16" s="64">
        <v>0.25</v>
      </c>
      <c r="F16" s="64"/>
      <c r="G16" s="64">
        <v>0.25</v>
      </c>
      <c r="H16" s="64"/>
      <c r="I16" s="64">
        <v>0.25</v>
      </c>
      <c r="J16" s="64"/>
      <c r="K16" s="64">
        <v>0.25</v>
      </c>
      <c r="L16" s="64"/>
      <c r="M16" s="64"/>
      <c r="N16" s="64"/>
      <c r="O16" s="66"/>
      <c r="Q16" s="65">
        <f>SUM(D16:O16)</f>
        <v>1</v>
      </c>
    </row>
    <row r="17" spans="1:17" ht="14.25" customHeight="1">
      <c r="A17" s="154"/>
      <c r="B17" s="155"/>
      <c r="C17" s="66"/>
      <c r="D17" s="67"/>
      <c r="E17" s="77"/>
      <c r="F17" s="67"/>
      <c r="G17" s="77"/>
      <c r="H17" s="67"/>
      <c r="I17" s="77"/>
      <c r="J17" s="67"/>
      <c r="K17" s="77"/>
      <c r="L17" s="67"/>
      <c r="M17" s="67"/>
      <c r="N17" s="67"/>
      <c r="O17" s="66"/>
      <c r="Q17" s="65"/>
    </row>
    <row r="18" spans="1:17" ht="14.25" customHeight="1">
      <c r="A18" s="154"/>
      <c r="B18" s="155"/>
      <c r="C18" s="66">
        <f>'Orçamento '!I45</f>
        <v>86200.599999999991</v>
      </c>
      <c r="D18" s="66"/>
      <c r="E18" s="66">
        <f>E16*$C18</f>
        <v>21550.149999999998</v>
      </c>
      <c r="F18" s="66"/>
      <c r="G18" s="66">
        <f>G16*$C18</f>
        <v>21550.149999999998</v>
      </c>
      <c r="H18" s="66"/>
      <c r="I18" s="66">
        <f>I16*$C18</f>
        <v>21550.149999999998</v>
      </c>
      <c r="J18" s="66"/>
      <c r="K18" s="66">
        <f>K16*$C18</f>
        <v>21550.149999999998</v>
      </c>
      <c r="L18" s="66"/>
      <c r="M18" s="66"/>
      <c r="N18" s="66"/>
      <c r="O18" s="66"/>
    </row>
    <row r="19" spans="1:17" ht="14.25" customHeight="1">
      <c r="A19" s="154">
        <v>5</v>
      </c>
      <c r="B19" s="155" t="str">
        <f>'Orçamento '!B51:H51</f>
        <v>Drenagem de águas pluviais</v>
      </c>
      <c r="C19" s="63">
        <f>C21/$C$58</f>
        <v>0.13528341759659918</v>
      </c>
      <c r="D19" s="64">
        <v>0.05</v>
      </c>
      <c r="E19" s="64">
        <v>0.2</v>
      </c>
      <c r="F19" s="64">
        <v>0.2</v>
      </c>
      <c r="G19" s="64">
        <v>0.2</v>
      </c>
      <c r="H19" s="64">
        <v>0.2</v>
      </c>
      <c r="I19" s="64">
        <v>0.15</v>
      </c>
      <c r="J19" s="64"/>
      <c r="K19" s="64"/>
      <c r="L19" s="64"/>
      <c r="M19" s="64"/>
      <c r="N19" s="64"/>
      <c r="O19" s="64"/>
      <c r="Q19" s="65">
        <f>SUM(D19:O19)</f>
        <v>1</v>
      </c>
    </row>
    <row r="20" spans="1:17" ht="14.25" customHeight="1">
      <c r="A20" s="154"/>
      <c r="B20" s="155"/>
      <c r="C20" s="66"/>
      <c r="D20" s="77"/>
      <c r="E20" s="77"/>
      <c r="F20" s="77"/>
      <c r="G20" s="77"/>
      <c r="H20" s="77"/>
      <c r="I20" s="77"/>
      <c r="J20" s="67"/>
      <c r="K20" s="67"/>
      <c r="L20" s="67"/>
      <c r="M20" s="67"/>
      <c r="N20" s="64"/>
      <c r="O20" s="64"/>
    </row>
    <row r="21" spans="1:17" ht="14.25" customHeight="1">
      <c r="A21" s="154"/>
      <c r="B21" s="155"/>
      <c r="C21" s="66">
        <f>'Orçamento '!I51</f>
        <v>3790972.2899999996</v>
      </c>
      <c r="D21" s="66">
        <f t="shared" ref="D21:I21" si="2">D19*$C21</f>
        <v>189548.6145</v>
      </c>
      <c r="E21" s="66">
        <f t="shared" si="2"/>
        <v>758194.45799999998</v>
      </c>
      <c r="F21" s="66">
        <f t="shared" si="2"/>
        <v>758194.45799999998</v>
      </c>
      <c r="G21" s="66">
        <f t="shared" si="2"/>
        <v>758194.45799999998</v>
      </c>
      <c r="H21" s="66">
        <f t="shared" si="2"/>
        <v>758194.45799999998</v>
      </c>
      <c r="I21" s="66">
        <f t="shared" si="2"/>
        <v>568645.84349999996</v>
      </c>
      <c r="J21" s="66"/>
      <c r="K21" s="66"/>
      <c r="L21" s="66"/>
      <c r="M21" s="66"/>
      <c r="N21" s="66"/>
      <c r="O21" s="66"/>
    </row>
    <row r="22" spans="1:17" ht="14.25" customHeight="1">
      <c r="A22" s="154">
        <v>6</v>
      </c>
      <c r="B22" s="155" t="str">
        <f>'Orçamento '!B71:H71</f>
        <v>Pavimentação Asfáltica - Avenida</v>
      </c>
      <c r="C22" s="63">
        <f>C24/$C$58</f>
        <v>0.15274416733566401</v>
      </c>
      <c r="D22" s="64"/>
      <c r="E22" s="64"/>
      <c r="F22" s="64"/>
      <c r="G22" s="64">
        <v>0.2</v>
      </c>
      <c r="H22" s="64">
        <v>0.1333333333</v>
      </c>
      <c r="I22" s="64">
        <v>0.1333333333</v>
      </c>
      <c r="J22" s="64">
        <v>0.1333333333</v>
      </c>
      <c r="K22" s="64">
        <v>0.1333333333</v>
      </c>
      <c r="L22" s="64">
        <v>0.1333333333</v>
      </c>
      <c r="M22" s="64">
        <v>0.1333333333</v>
      </c>
      <c r="N22" s="64"/>
      <c r="O22" s="64"/>
      <c r="Q22" s="65">
        <f>SUM(D22:O22)</f>
        <v>0.99999999979999987</v>
      </c>
    </row>
    <row r="23" spans="1:17" ht="14.25" customHeight="1">
      <c r="A23" s="154"/>
      <c r="B23" s="155"/>
      <c r="C23" s="66"/>
      <c r="D23" s="67"/>
      <c r="E23" s="67"/>
      <c r="F23" s="67"/>
      <c r="G23" s="77"/>
      <c r="H23" s="77"/>
      <c r="I23" s="77"/>
      <c r="J23" s="77"/>
      <c r="K23" s="77"/>
      <c r="L23" s="77"/>
      <c r="M23" s="77"/>
      <c r="N23" s="67"/>
      <c r="O23" s="67"/>
    </row>
    <row r="24" spans="1:17" ht="14.25" customHeight="1">
      <c r="A24" s="154"/>
      <c r="B24" s="155"/>
      <c r="C24" s="66">
        <f>'Orçamento '!I71</f>
        <v>4280265.21</v>
      </c>
      <c r="D24" s="66"/>
      <c r="E24" s="66"/>
      <c r="F24" s="66"/>
      <c r="G24" s="66">
        <f t="shared" ref="G24:M24" si="3">G22*$C24</f>
        <v>856053.04200000002</v>
      </c>
      <c r="H24" s="66">
        <f t="shared" si="3"/>
        <v>570702.02785732446</v>
      </c>
      <c r="I24" s="66">
        <f t="shared" si="3"/>
        <v>570702.02785732446</v>
      </c>
      <c r="J24" s="66">
        <f t="shared" si="3"/>
        <v>570702.02785732446</v>
      </c>
      <c r="K24" s="66">
        <f t="shared" si="3"/>
        <v>570702.02785732446</v>
      </c>
      <c r="L24" s="66">
        <f t="shared" si="3"/>
        <v>570702.02785732446</v>
      </c>
      <c r="M24" s="66">
        <f t="shared" si="3"/>
        <v>570702.02785732446</v>
      </c>
      <c r="N24" s="66"/>
      <c r="O24" s="66"/>
    </row>
    <row r="25" spans="1:17" ht="14.25" customHeight="1">
      <c r="A25" s="154">
        <v>7</v>
      </c>
      <c r="B25" s="155" t="str">
        <f>'Orçamento '!B80:H80</f>
        <v>Pavimentação Asfáltica - Sobre Aduelas</v>
      </c>
      <c r="C25" s="63">
        <f>C27/$C$58</f>
        <v>1.0679994814542636E-2</v>
      </c>
      <c r="D25" s="66"/>
      <c r="E25" s="66"/>
      <c r="F25" s="66"/>
      <c r="G25" s="66"/>
      <c r="H25" s="66"/>
      <c r="I25" s="64">
        <v>1</v>
      </c>
      <c r="J25" s="66"/>
      <c r="K25" s="66"/>
      <c r="L25" s="66"/>
      <c r="M25" s="66"/>
      <c r="N25" s="66"/>
      <c r="O25" s="66"/>
      <c r="Q25" s="65">
        <f>SUM(D25:O25)</f>
        <v>1</v>
      </c>
    </row>
    <row r="26" spans="1:17" ht="14.25" customHeight="1">
      <c r="A26" s="154"/>
      <c r="B26" s="155"/>
      <c r="C26" s="66"/>
      <c r="D26" s="66"/>
      <c r="E26" s="66"/>
      <c r="F26" s="66"/>
      <c r="G26" s="66"/>
      <c r="H26" s="66"/>
      <c r="I26" s="77"/>
      <c r="J26" s="66"/>
      <c r="K26" s="66"/>
      <c r="L26" s="66"/>
      <c r="M26" s="66"/>
      <c r="N26" s="66"/>
      <c r="O26" s="66"/>
    </row>
    <row r="27" spans="1:17" ht="14.25" customHeight="1">
      <c r="A27" s="154"/>
      <c r="B27" s="155"/>
      <c r="C27" s="66">
        <f>'Orçamento '!I80</f>
        <v>299279.58</v>
      </c>
      <c r="D27" s="66"/>
      <c r="E27" s="66"/>
      <c r="F27" s="66"/>
      <c r="G27" s="66"/>
      <c r="H27" s="66"/>
      <c r="I27" s="66">
        <f>I25*$C27</f>
        <v>299279.58</v>
      </c>
      <c r="J27" s="66"/>
      <c r="K27" s="66"/>
      <c r="L27" s="66"/>
      <c r="M27" s="66"/>
      <c r="N27" s="66"/>
      <c r="O27" s="66"/>
    </row>
    <row r="28" spans="1:17" ht="14.25" customHeight="1">
      <c r="A28" s="154">
        <v>8</v>
      </c>
      <c r="B28" s="155" t="str">
        <f>'Orçamento '!B91:H91</f>
        <v>Recapeamento Asfáltico</v>
      </c>
      <c r="C28" s="63">
        <f>C30/$C$58</f>
        <v>1.3005324286430545E-3</v>
      </c>
      <c r="D28" s="66"/>
      <c r="E28" s="66"/>
      <c r="F28" s="66"/>
      <c r="G28" s="66"/>
      <c r="H28" s="66"/>
      <c r="I28" s="66"/>
      <c r="J28" s="64">
        <v>1</v>
      </c>
      <c r="K28" s="66"/>
      <c r="L28" s="66"/>
      <c r="M28" s="66"/>
      <c r="N28" s="66"/>
      <c r="O28" s="66"/>
      <c r="Q28" s="65">
        <f>SUM(D28:O28)</f>
        <v>1</v>
      </c>
    </row>
    <row r="29" spans="1:17" ht="14.25" customHeight="1">
      <c r="A29" s="154"/>
      <c r="B29" s="155"/>
      <c r="C29" s="66"/>
      <c r="D29" s="66"/>
      <c r="E29" s="66"/>
      <c r="F29" s="66"/>
      <c r="G29" s="66"/>
      <c r="H29" s="66"/>
      <c r="I29" s="66"/>
      <c r="J29" s="77"/>
      <c r="K29" s="66"/>
      <c r="L29" s="66"/>
      <c r="M29" s="66"/>
      <c r="N29" s="66"/>
      <c r="O29" s="66"/>
    </row>
    <row r="30" spans="1:17" ht="14.25" customHeight="1">
      <c r="A30" s="154"/>
      <c r="B30" s="155"/>
      <c r="C30" s="66">
        <f>'Orçamento '!I91</f>
        <v>36444.100000000006</v>
      </c>
      <c r="D30" s="66"/>
      <c r="E30" s="66"/>
      <c r="F30" s="66"/>
      <c r="G30" s="66"/>
      <c r="H30" s="66"/>
      <c r="I30" s="66"/>
      <c r="J30" s="66">
        <f>J28*$C30</f>
        <v>36444.100000000006</v>
      </c>
      <c r="K30" s="66"/>
      <c r="L30" s="66"/>
      <c r="M30" s="66"/>
      <c r="N30" s="66"/>
      <c r="O30" s="66"/>
    </row>
    <row r="31" spans="1:17" ht="14.25" customHeight="1">
      <c r="A31" s="154">
        <v>9</v>
      </c>
      <c r="B31" s="155" t="str">
        <f>'Orçamento '!B96:H96</f>
        <v>Passeio em concreto</v>
      </c>
      <c r="C31" s="63">
        <f>C33/$C$58</f>
        <v>2.0355555904450467E-2</v>
      </c>
      <c r="D31" s="66"/>
      <c r="E31" s="66"/>
      <c r="F31" s="66"/>
      <c r="G31" s="66"/>
      <c r="H31" s="66"/>
      <c r="I31" s="66"/>
      <c r="J31" s="66"/>
      <c r="K31" s="64">
        <v>0.3</v>
      </c>
      <c r="L31" s="64">
        <v>0.3</v>
      </c>
      <c r="M31" s="64">
        <v>0.3</v>
      </c>
      <c r="N31" s="64">
        <v>0.1</v>
      </c>
      <c r="O31" s="66"/>
      <c r="Q31" s="65">
        <f>SUM(D31:O31)</f>
        <v>0.99999999999999989</v>
      </c>
    </row>
    <row r="32" spans="1:17" ht="14.25" customHeight="1">
      <c r="A32" s="154"/>
      <c r="B32" s="155"/>
      <c r="C32" s="66"/>
      <c r="D32" s="66"/>
      <c r="E32" s="66"/>
      <c r="F32" s="66"/>
      <c r="G32" s="66"/>
      <c r="H32" s="66"/>
      <c r="I32" s="66"/>
      <c r="J32" s="66"/>
      <c r="K32" s="77"/>
      <c r="L32" s="77"/>
      <c r="M32" s="77"/>
      <c r="N32" s="77"/>
      <c r="O32" s="66"/>
    </row>
    <row r="33" spans="1:17" ht="14.25" customHeight="1">
      <c r="A33" s="154"/>
      <c r="B33" s="155"/>
      <c r="C33" s="66">
        <f>'Orçamento '!I96</f>
        <v>570412.47</v>
      </c>
      <c r="D33" s="66"/>
      <c r="E33" s="66"/>
      <c r="F33" s="66"/>
      <c r="G33" s="66"/>
      <c r="H33" s="66"/>
      <c r="I33" s="66"/>
      <c r="J33" s="66"/>
      <c r="K33" s="66">
        <f>K31*$C33</f>
        <v>171123.74099999998</v>
      </c>
      <c r="L33" s="66">
        <f>L31*$C33</f>
        <v>171123.74099999998</v>
      </c>
      <c r="M33" s="66">
        <f>M31*$C33</f>
        <v>171123.74099999998</v>
      </c>
      <c r="N33" s="66">
        <f>N31*$C33</f>
        <v>57041.247000000003</v>
      </c>
      <c r="O33" s="66"/>
    </row>
    <row r="34" spans="1:17" ht="14.25" customHeight="1">
      <c r="A34" s="154">
        <v>10</v>
      </c>
      <c r="B34" s="155" t="str">
        <f>'Orçamento '!B101:H101</f>
        <v>Proteção e fechamentos</v>
      </c>
      <c r="C34" s="63">
        <f>C36/$C$58</f>
        <v>5.1699591826390806E-2</v>
      </c>
      <c r="D34" s="67"/>
      <c r="E34" s="64">
        <v>0.2</v>
      </c>
      <c r="F34" s="64">
        <v>0.11428571429999999</v>
      </c>
      <c r="G34" s="64">
        <v>0.11428571429999999</v>
      </c>
      <c r="H34" s="64">
        <v>0.11428571429999999</v>
      </c>
      <c r="I34" s="64">
        <v>0.11428571429999999</v>
      </c>
      <c r="J34" s="64">
        <v>0.11428571429999999</v>
      </c>
      <c r="K34" s="64">
        <v>0.11428571429999999</v>
      </c>
      <c r="L34" s="64">
        <v>0.11428571429999999</v>
      </c>
      <c r="M34" s="66"/>
      <c r="N34" s="66"/>
      <c r="O34" s="66"/>
      <c r="Q34" s="65">
        <f>SUM(D34:O34)</f>
        <v>1.0000000001</v>
      </c>
    </row>
    <row r="35" spans="1:17" ht="14.25" customHeight="1">
      <c r="A35" s="154"/>
      <c r="B35" s="155"/>
      <c r="C35" s="66"/>
      <c r="D35" s="67"/>
      <c r="E35" s="77"/>
      <c r="F35" s="77"/>
      <c r="G35" s="77"/>
      <c r="H35" s="77"/>
      <c r="I35" s="77"/>
      <c r="J35" s="77"/>
      <c r="K35" s="77"/>
      <c r="L35" s="77"/>
      <c r="M35" s="66"/>
      <c r="N35" s="66"/>
      <c r="O35" s="66"/>
      <c r="Q35" s="65"/>
    </row>
    <row r="36" spans="1:17" ht="14.25" customHeight="1">
      <c r="A36" s="154"/>
      <c r="B36" s="155"/>
      <c r="C36" s="66">
        <f>'Orçamento '!I101</f>
        <v>1448749.03</v>
      </c>
      <c r="D36" s="68"/>
      <c r="E36" s="66">
        <f t="shared" ref="E36:L36" si="4">E34*$C36</f>
        <v>289749.80600000004</v>
      </c>
      <c r="F36" s="66">
        <f t="shared" si="4"/>
        <v>165571.31773498212</v>
      </c>
      <c r="G36" s="66">
        <f t="shared" si="4"/>
        <v>165571.31773498212</v>
      </c>
      <c r="H36" s="66">
        <f t="shared" si="4"/>
        <v>165571.31773498212</v>
      </c>
      <c r="I36" s="66">
        <f t="shared" si="4"/>
        <v>165571.31773498212</v>
      </c>
      <c r="J36" s="66">
        <f t="shared" si="4"/>
        <v>165571.31773498212</v>
      </c>
      <c r="K36" s="66">
        <f t="shared" si="4"/>
        <v>165571.31773498212</v>
      </c>
      <c r="L36" s="66">
        <f t="shared" si="4"/>
        <v>165571.31773498212</v>
      </c>
      <c r="M36" s="66"/>
      <c r="N36" s="66"/>
      <c r="O36" s="66"/>
    </row>
    <row r="37" spans="1:17" ht="14.25" customHeight="1">
      <c r="A37" s="154">
        <v>11</v>
      </c>
      <c r="B37" s="155" t="str">
        <f>'Orçamento '!B108:H108</f>
        <v>Sinalização Viária</v>
      </c>
      <c r="C37" s="63">
        <f>C39/$C$58</f>
        <v>3.9442089834199452E-2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4">
        <v>0.74075371180000005</v>
      </c>
      <c r="O37" s="64">
        <v>0.25924628820000001</v>
      </c>
      <c r="Q37" s="65">
        <f>SUM(D37:O37)</f>
        <v>1</v>
      </c>
    </row>
    <row r="38" spans="1:17" ht="14.25" customHeight="1">
      <c r="A38" s="154"/>
      <c r="B38" s="15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7"/>
      <c r="O38" s="77"/>
    </row>
    <row r="39" spans="1:17" ht="14.25" customHeight="1">
      <c r="A39" s="154"/>
      <c r="B39" s="155"/>
      <c r="C39" s="66">
        <f>'Orçamento '!I108</f>
        <v>1105263.8400000001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>
        <f>N37*$C39</f>
        <v>818728.29199832142</v>
      </c>
      <c r="O39" s="66">
        <f>O37*$C39</f>
        <v>286535.54800167872</v>
      </c>
    </row>
    <row r="40" spans="1:17" ht="14.25" customHeight="1">
      <c r="A40" s="154">
        <v>12</v>
      </c>
      <c r="B40" s="155" t="str">
        <f>'Orçamento '!B113:H113</f>
        <v>Iluminação Pública</v>
      </c>
      <c r="C40" s="63">
        <f>C42/$C$58</f>
        <v>3.346670178760721E-2</v>
      </c>
      <c r="D40" s="66"/>
      <c r="E40" s="66"/>
      <c r="F40" s="66"/>
      <c r="G40" s="66"/>
      <c r="H40" s="66"/>
      <c r="I40" s="64">
        <v>0.1</v>
      </c>
      <c r="J40" s="64">
        <v>0.1</v>
      </c>
      <c r="K40" s="64">
        <v>0.2</v>
      </c>
      <c r="L40" s="64">
        <v>0.2</v>
      </c>
      <c r="M40" s="64">
        <v>0.2</v>
      </c>
      <c r="N40" s="64">
        <v>0.1</v>
      </c>
      <c r="O40" s="64">
        <v>0.1</v>
      </c>
      <c r="Q40" s="65">
        <f>SUM(D40:O40)</f>
        <v>1</v>
      </c>
    </row>
    <row r="41" spans="1:17" ht="14.25" customHeight="1">
      <c r="A41" s="154"/>
      <c r="B41" s="155"/>
      <c r="C41" s="66"/>
      <c r="D41" s="66"/>
      <c r="E41" s="66"/>
      <c r="F41" s="66"/>
      <c r="G41" s="66"/>
      <c r="H41" s="66"/>
      <c r="I41" s="77"/>
      <c r="J41" s="77"/>
      <c r="K41" s="77"/>
      <c r="L41" s="77"/>
      <c r="M41" s="77"/>
      <c r="N41" s="77"/>
      <c r="O41" s="77"/>
    </row>
    <row r="42" spans="1:17" ht="14.25" customHeight="1">
      <c r="A42" s="154"/>
      <c r="B42" s="155"/>
      <c r="C42" s="66">
        <f>'Orçamento '!I113</f>
        <v>937818.84999999986</v>
      </c>
      <c r="D42" s="66"/>
      <c r="E42" s="66"/>
      <c r="F42" s="66"/>
      <c r="G42" s="66"/>
      <c r="H42" s="66"/>
      <c r="I42" s="66">
        <f t="shared" ref="I42:O42" si="5">I40*$C42</f>
        <v>93781.884999999995</v>
      </c>
      <c r="J42" s="66">
        <f t="shared" si="5"/>
        <v>93781.884999999995</v>
      </c>
      <c r="K42" s="66">
        <f t="shared" si="5"/>
        <v>187563.77</v>
      </c>
      <c r="L42" s="66">
        <f t="shared" si="5"/>
        <v>187563.77</v>
      </c>
      <c r="M42" s="66">
        <f t="shared" si="5"/>
        <v>187563.77</v>
      </c>
      <c r="N42" s="66">
        <f t="shared" si="5"/>
        <v>93781.884999999995</v>
      </c>
      <c r="O42" s="66">
        <f t="shared" si="5"/>
        <v>93781.884999999995</v>
      </c>
    </row>
    <row r="43" spans="1:17" ht="14.25" customHeight="1">
      <c r="A43" s="154">
        <v>13</v>
      </c>
      <c r="B43" s="155" t="str">
        <f>'Orçamento '!B126:H126</f>
        <v>Muro de pedra</v>
      </c>
      <c r="C43" s="63">
        <f>C45/$C$58</f>
        <v>3.145129422407502E-2</v>
      </c>
      <c r="D43" s="66"/>
      <c r="E43" s="64">
        <v>0.2</v>
      </c>
      <c r="F43" s="64">
        <v>0.3</v>
      </c>
      <c r="G43" s="64">
        <v>0.2</v>
      </c>
      <c r="H43" s="64">
        <v>0.2</v>
      </c>
      <c r="I43" s="64">
        <v>0.1</v>
      </c>
      <c r="J43" s="66"/>
      <c r="K43" s="66"/>
      <c r="L43" s="66"/>
      <c r="M43" s="66"/>
      <c r="N43" s="66"/>
      <c r="O43" s="66"/>
      <c r="Q43" s="65">
        <f>SUM(D43:O43)</f>
        <v>0.99999999999999989</v>
      </c>
    </row>
    <row r="44" spans="1:17" ht="14.25" customHeight="1">
      <c r="A44" s="154"/>
      <c r="B44" s="155"/>
      <c r="C44" s="66"/>
      <c r="D44" s="66"/>
      <c r="E44" s="77"/>
      <c r="F44" s="77"/>
      <c r="G44" s="77"/>
      <c r="H44" s="77"/>
      <c r="I44" s="77"/>
      <c r="J44" s="66"/>
      <c r="K44" s="66"/>
      <c r="L44" s="66"/>
      <c r="M44" s="66"/>
      <c r="N44" s="66"/>
      <c r="O44" s="66"/>
    </row>
    <row r="45" spans="1:17" ht="14.25" customHeight="1">
      <c r="A45" s="154"/>
      <c r="B45" s="155"/>
      <c r="C45" s="66">
        <f>'Orçamento '!I126</f>
        <v>881342.20000000007</v>
      </c>
      <c r="D45" s="66"/>
      <c r="E45" s="66">
        <f>E43*$C45</f>
        <v>176268.44000000003</v>
      </c>
      <c r="F45" s="66">
        <f>F43*$C45</f>
        <v>264402.66000000003</v>
      </c>
      <c r="G45" s="66">
        <f>G43*$C45</f>
        <v>176268.44000000003</v>
      </c>
      <c r="H45" s="66">
        <f>H43*$C45</f>
        <v>176268.44000000003</v>
      </c>
      <c r="I45" s="66">
        <f>I43*$C45</f>
        <v>88134.220000000016</v>
      </c>
      <c r="J45" s="66"/>
      <c r="K45" s="66"/>
      <c r="L45" s="66"/>
      <c r="M45" s="66"/>
      <c r="N45" s="66"/>
      <c r="O45" s="66"/>
    </row>
    <row r="46" spans="1:17" ht="14.25" customHeight="1">
      <c r="A46" s="154">
        <v>14</v>
      </c>
      <c r="B46" s="155" t="str">
        <f>'Orçamento '!B137:H137</f>
        <v>Concreto projetado</v>
      </c>
      <c r="C46" s="63">
        <f>C48/$C$58</f>
        <v>0.10222057491262866</v>
      </c>
      <c r="D46" s="66"/>
      <c r="E46" s="64">
        <v>0.1</v>
      </c>
      <c r="F46" s="64">
        <v>0.15</v>
      </c>
      <c r="G46" s="64">
        <v>0.15</v>
      </c>
      <c r="H46" s="64">
        <v>0.2</v>
      </c>
      <c r="I46" s="64">
        <v>0.2</v>
      </c>
      <c r="J46" s="64">
        <v>0.1</v>
      </c>
      <c r="K46" s="64">
        <v>0.1</v>
      </c>
      <c r="L46" s="66"/>
      <c r="M46" s="66"/>
      <c r="N46" s="66"/>
      <c r="O46" s="66"/>
      <c r="Q46" s="65">
        <f>SUM(D46:O46)</f>
        <v>1</v>
      </c>
    </row>
    <row r="47" spans="1:17" ht="14.25" customHeight="1">
      <c r="A47" s="154"/>
      <c r="B47" s="155"/>
      <c r="C47" s="66"/>
      <c r="D47" s="66"/>
      <c r="E47" s="77"/>
      <c r="F47" s="77"/>
      <c r="G47" s="77"/>
      <c r="H47" s="77"/>
      <c r="I47" s="77"/>
      <c r="J47" s="77"/>
      <c r="K47" s="77"/>
      <c r="L47" s="66"/>
      <c r="M47" s="66"/>
      <c r="N47" s="66"/>
      <c r="O47" s="66"/>
    </row>
    <row r="48" spans="1:17" ht="14.25" customHeight="1">
      <c r="A48" s="154"/>
      <c r="B48" s="155"/>
      <c r="C48" s="66">
        <f>'Orçamento '!I137</f>
        <v>2864470.5600000005</v>
      </c>
      <c r="D48" s="66"/>
      <c r="E48" s="66">
        <f t="shared" ref="E48:K48" si="6">E46*$C48</f>
        <v>286447.05600000004</v>
      </c>
      <c r="F48" s="66">
        <f t="shared" si="6"/>
        <v>429670.58400000009</v>
      </c>
      <c r="G48" s="66">
        <f t="shared" si="6"/>
        <v>429670.58400000009</v>
      </c>
      <c r="H48" s="66">
        <f t="shared" si="6"/>
        <v>572894.11200000008</v>
      </c>
      <c r="I48" s="66">
        <f t="shared" si="6"/>
        <v>572894.11200000008</v>
      </c>
      <c r="J48" s="66">
        <f t="shared" si="6"/>
        <v>286447.05600000004</v>
      </c>
      <c r="K48" s="66">
        <f t="shared" si="6"/>
        <v>286447.05600000004</v>
      </c>
      <c r="L48" s="66"/>
      <c r="M48" s="66"/>
      <c r="N48" s="66"/>
      <c r="O48" s="66"/>
    </row>
    <row r="49" spans="1:17" ht="14.25" customHeight="1">
      <c r="A49" s="154">
        <v>15</v>
      </c>
      <c r="B49" s="155" t="str">
        <f>'Orçamento '!B143:H143</f>
        <v>Serviços Complementares</v>
      </c>
      <c r="C49" s="63">
        <f>C51/$C$58</f>
        <v>2.3236599174285007E-2</v>
      </c>
      <c r="D49" s="66"/>
      <c r="E49" s="66"/>
      <c r="F49" s="66"/>
      <c r="G49" s="66"/>
      <c r="H49" s="64"/>
      <c r="I49" s="64"/>
      <c r="J49" s="64"/>
      <c r="K49" s="64"/>
      <c r="L49" s="64">
        <v>0.2</v>
      </c>
      <c r="M49" s="64">
        <v>0.3</v>
      </c>
      <c r="N49" s="64">
        <v>0.3</v>
      </c>
      <c r="O49" s="64">
        <v>0.2</v>
      </c>
      <c r="Q49" s="65">
        <f>SUM(D49:O49)</f>
        <v>1</v>
      </c>
    </row>
    <row r="50" spans="1:17" ht="14.25" customHeight="1">
      <c r="A50" s="154"/>
      <c r="B50" s="155"/>
      <c r="C50" s="66"/>
      <c r="D50" s="66"/>
      <c r="E50" s="66"/>
      <c r="F50" s="66"/>
      <c r="G50" s="66"/>
      <c r="H50" s="67"/>
      <c r="I50" s="67"/>
      <c r="J50" s="67"/>
      <c r="K50" s="67"/>
      <c r="L50" s="77"/>
      <c r="M50" s="77"/>
      <c r="N50" s="77"/>
      <c r="O50" s="77"/>
    </row>
    <row r="51" spans="1:17" ht="14.25" customHeight="1">
      <c r="A51" s="154"/>
      <c r="B51" s="155"/>
      <c r="C51" s="66">
        <f>'Orçamento '!I143</f>
        <v>651146.35</v>
      </c>
      <c r="D51" s="66"/>
      <c r="E51" s="66"/>
      <c r="F51" s="66"/>
      <c r="G51" s="66"/>
      <c r="H51" s="66"/>
      <c r="I51" s="66"/>
      <c r="J51" s="66"/>
      <c r="K51" s="66"/>
      <c r="L51" s="66">
        <f>L49*$C51</f>
        <v>130229.27</v>
      </c>
      <c r="M51" s="66">
        <f>M49*$C51</f>
        <v>195343.905</v>
      </c>
      <c r="N51" s="66">
        <f>N49*$C51</f>
        <v>195343.905</v>
      </c>
      <c r="O51" s="66">
        <f>O49*$C51</f>
        <v>130229.27</v>
      </c>
    </row>
    <row r="52" spans="1:17" ht="14.25" customHeight="1">
      <c r="A52" s="154">
        <v>16</v>
      </c>
      <c r="B52" s="155" t="str">
        <f>'Orçamento '!B148:H148</f>
        <v>Pontes</v>
      </c>
      <c r="C52" s="63">
        <f>C54/$C$58</f>
        <v>0.16807238518958145</v>
      </c>
      <c r="D52" s="66"/>
      <c r="E52" s="67"/>
      <c r="F52" s="64">
        <v>0.1</v>
      </c>
      <c r="G52" s="64">
        <v>0.15</v>
      </c>
      <c r="H52" s="64">
        <v>0.15</v>
      </c>
      <c r="I52" s="64">
        <v>0.15</v>
      </c>
      <c r="J52" s="64">
        <v>0.15</v>
      </c>
      <c r="K52" s="64">
        <v>0.15</v>
      </c>
      <c r="L52" s="64">
        <v>0.1</v>
      </c>
      <c r="M52" s="64">
        <v>3.5000000000000003E-2</v>
      </c>
      <c r="N52" s="64">
        <v>1.4999999999999999E-2</v>
      </c>
      <c r="O52" s="66"/>
      <c r="Q52" s="65">
        <f>SUM(D52:O52)</f>
        <v>1</v>
      </c>
    </row>
    <row r="53" spans="1:17" ht="14.25" customHeight="1">
      <c r="A53" s="154"/>
      <c r="B53" s="155"/>
      <c r="C53" s="66"/>
      <c r="D53" s="66"/>
      <c r="E53" s="67"/>
      <c r="F53" s="77"/>
      <c r="G53" s="77"/>
      <c r="H53" s="77"/>
      <c r="I53" s="77"/>
      <c r="J53" s="77"/>
      <c r="K53" s="77"/>
      <c r="L53" s="77"/>
      <c r="M53" s="77"/>
      <c r="N53" s="77"/>
      <c r="O53" s="66"/>
      <c r="Q53" s="65"/>
    </row>
    <row r="54" spans="1:17" ht="14.25" customHeight="1">
      <c r="A54" s="154"/>
      <c r="B54" s="155"/>
      <c r="C54" s="66">
        <f>'Orçamento '!I148</f>
        <v>4709799.3699999992</v>
      </c>
      <c r="D54" s="66"/>
      <c r="E54" s="68"/>
      <c r="F54" s="66">
        <f t="shared" ref="F54:N54" si="7">F52*$C54</f>
        <v>470979.93699999992</v>
      </c>
      <c r="G54" s="66">
        <f t="shared" si="7"/>
        <v>706469.90549999988</v>
      </c>
      <c r="H54" s="66">
        <f t="shared" si="7"/>
        <v>706469.90549999988</v>
      </c>
      <c r="I54" s="66">
        <f t="shared" si="7"/>
        <v>706469.90549999988</v>
      </c>
      <c r="J54" s="66">
        <f t="shared" si="7"/>
        <v>706469.90549999988</v>
      </c>
      <c r="K54" s="66">
        <f t="shared" si="7"/>
        <v>706469.90549999988</v>
      </c>
      <c r="L54" s="66">
        <f t="shared" si="7"/>
        <v>470979.93699999992</v>
      </c>
      <c r="M54" s="66">
        <f t="shared" si="7"/>
        <v>164842.97795</v>
      </c>
      <c r="N54" s="66">
        <f t="shared" si="7"/>
        <v>70646.990549999988</v>
      </c>
      <c r="O54" s="66"/>
    </row>
    <row r="55" spans="1:17" ht="14.25" customHeight="1">
      <c r="A55" s="154">
        <v>17</v>
      </c>
      <c r="B55" s="155" t="str">
        <f>'Orçamento '!B190:H190</f>
        <v>Rede de água e esgoto SABESP</v>
      </c>
      <c r="C55" s="63">
        <f>C57/$C$58</f>
        <v>5.622838453561859E-2</v>
      </c>
      <c r="D55" s="67"/>
      <c r="E55" s="64">
        <v>0.3</v>
      </c>
      <c r="F55" s="64">
        <v>0.2</v>
      </c>
      <c r="G55" s="64">
        <v>0.2</v>
      </c>
      <c r="H55" s="64">
        <v>0.2</v>
      </c>
      <c r="I55" s="64">
        <v>0.1</v>
      </c>
      <c r="J55" s="64"/>
      <c r="K55" s="64"/>
      <c r="L55" s="64"/>
      <c r="M55" s="64"/>
      <c r="N55" s="64"/>
      <c r="O55" s="64"/>
      <c r="Q55" s="65">
        <f>SUM(D55:O55)</f>
        <v>0.99999999999999989</v>
      </c>
    </row>
    <row r="56" spans="1:17" ht="14.25" customHeight="1">
      <c r="A56" s="154"/>
      <c r="B56" s="155"/>
      <c r="C56" s="66"/>
      <c r="D56" s="67"/>
      <c r="E56" s="77"/>
      <c r="F56" s="77"/>
      <c r="G56" s="77"/>
      <c r="H56" s="77"/>
      <c r="I56" s="77"/>
      <c r="J56" s="67"/>
      <c r="K56" s="67"/>
      <c r="L56" s="67"/>
      <c r="M56" s="67"/>
      <c r="N56" s="67"/>
      <c r="O56" s="64"/>
    </row>
    <row r="57" spans="1:17" ht="14.25" customHeight="1">
      <c r="A57" s="154"/>
      <c r="B57" s="155"/>
      <c r="C57" s="66">
        <f>'Orçamento '!I190</f>
        <v>1575656.88</v>
      </c>
      <c r="D57" s="68"/>
      <c r="E57" s="66">
        <f>E55*$C57</f>
        <v>472697.06399999995</v>
      </c>
      <c r="F57" s="66">
        <f>F55*$C57</f>
        <v>315131.37599999999</v>
      </c>
      <c r="G57" s="66">
        <f>G55*$C57</f>
        <v>315131.37599999999</v>
      </c>
      <c r="H57" s="66">
        <f>H55*$C57</f>
        <v>315131.37599999999</v>
      </c>
      <c r="I57" s="66">
        <f>I55*$C57</f>
        <v>157565.68799999999</v>
      </c>
      <c r="J57" s="66"/>
      <c r="K57" s="66"/>
      <c r="L57" s="66"/>
      <c r="M57" s="66"/>
      <c r="N57" s="66"/>
      <c r="O57" s="66"/>
    </row>
    <row r="58" spans="1:17">
      <c r="A58" s="156" t="s">
        <v>509</v>
      </c>
      <c r="B58" s="156"/>
      <c r="C58" s="62">
        <f>C24+C21+C12+C15+C18+C9+C57+C27+C30+C33+C36+C39+C42+C45+C48+C51+C54</f>
        <v>28022446.189999998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1:17" ht="14.25" customHeight="1">
      <c r="A59" s="157" t="s">
        <v>510</v>
      </c>
      <c r="B59" s="157"/>
      <c r="C59" s="78" t="s">
        <v>518</v>
      </c>
      <c r="D59" s="71">
        <f t="shared" ref="D59:O59" si="8">(D24+D21+D15+D12+D9+D57+D27+D30+D33+D36+D39+D42+D45+D48+D51+D54+D18)</f>
        <v>696922.15833731741</v>
      </c>
      <c r="E59" s="71">
        <f t="shared" si="8"/>
        <v>2392401.2018925957</v>
      </c>
      <c r="F59" s="71">
        <f t="shared" si="8"/>
        <v>2789820.0828195782</v>
      </c>
      <c r="G59" s="71">
        <f t="shared" si="8"/>
        <v>3816218.037287578</v>
      </c>
      <c r="H59" s="71">
        <f t="shared" si="8"/>
        <v>3651101.3871769025</v>
      </c>
      <c r="I59" s="71">
        <f t="shared" si="8"/>
        <v>3631903.4936449025</v>
      </c>
      <c r="J59" s="71">
        <f t="shared" si="8"/>
        <v>2245286.0421769023</v>
      </c>
      <c r="K59" s="71">
        <f t="shared" si="8"/>
        <v>2496736.732144902</v>
      </c>
      <c r="L59" s="71">
        <f t="shared" si="8"/>
        <v>2082039.8136769023</v>
      </c>
      <c r="M59" s="71">
        <f t="shared" si="8"/>
        <v>1676885.1858599202</v>
      </c>
      <c r="N59" s="71">
        <f t="shared" si="8"/>
        <v>1621412.0696329174</v>
      </c>
      <c r="O59" s="71">
        <f t="shared" si="8"/>
        <v>921671.07419479243</v>
      </c>
    </row>
    <row r="60" spans="1:17">
      <c r="A60" s="157"/>
      <c r="B60" s="157"/>
      <c r="C60" s="70" t="s">
        <v>512</v>
      </c>
      <c r="D60" s="71">
        <f>D59</f>
        <v>696922.15833731741</v>
      </c>
      <c r="E60" s="71">
        <f t="shared" ref="E60:O60" si="9">E59+D60</f>
        <v>3089323.3602299131</v>
      </c>
      <c r="F60" s="71">
        <f t="shared" si="9"/>
        <v>5879143.4430494914</v>
      </c>
      <c r="G60" s="71">
        <f t="shared" si="9"/>
        <v>9695361.4803370684</v>
      </c>
      <c r="H60" s="71">
        <f t="shared" si="9"/>
        <v>13346462.867513971</v>
      </c>
      <c r="I60" s="71">
        <f t="shared" si="9"/>
        <v>16978366.361158874</v>
      </c>
      <c r="J60" s="71">
        <f t="shared" si="9"/>
        <v>19223652.403335776</v>
      </c>
      <c r="K60" s="71">
        <f t="shared" si="9"/>
        <v>21720389.13548068</v>
      </c>
      <c r="L60" s="71">
        <f t="shared" si="9"/>
        <v>23802428.949157581</v>
      </c>
      <c r="M60" s="71">
        <f t="shared" si="9"/>
        <v>25479314.135017499</v>
      </c>
      <c r="N60" s="71">
        <f t="shared" si="9"/>
        <v>27100726.204650417</v>
      </c>
      <c r="O60" s="71">
        <f t="shared" si="9"/>
        <v>28022397.27884521</v>
      </c>
    </row>
    <row r="61" spans="1:17">
      <c r="A61" s="153" t="s">
        <v>513</v>
      </c>
      <c r="B61" s="153"/>
      <c r="C61" s="70" t="s">
        <v>511</v>
      </c>
      <c r="D61" s="63">
        <f t="shared" ref="D61:O61" si="10">D59/$C$58</f>
        <v>2.4870139944671171E-2</v>
      </c>
      <c r="E61" s="63">
        <f t="shared" si="10"/>
        <v>8.5374459662495156E-2</v>
      </c>
      <c r="F61" s="63">
        <f t="shared" si="10"/>
        <v>9.9556621998801262E-2</v>
      </c>
      <c r="G61" s="63">
        <f t="shared" si="10"/>
        <v>0.13618432921282303</v>
      </c>
      <c r="H61" s="63">
        <f t="shared" si="10"/>
        <v>0.13029202955450131</v>
      </c>
      <c r="I61" s="63">
        <f t="shared" si="10"/>
        <v>0.12960693970182274</v>
      </c>
      <c r="J61" s="63">
        <f t="shared" si="10"/>
        <v>8.0124555399383651E-2</v>
      </c>
      <c r="K61" s="63">
        <f t="shared" si="10"/>
        <v>8.9097743830653858E-2</v>
      </c>
      <c r="L61" s="63">
        <f t="shared" si="10"/>
        <v>7.4299003004951528E-2</v>
      </c>
      <c r="M61" s="63">
        <f t="shared" si="10"/>
        <v>5.9840785293695319E-2</v>
      </c>
      <c r="N61" s="63">
        <f t="shared" si="10"/>
        <v>5.7861189513552513E-2</v>
      </c>
      <c r="O61" s="63">
        <f t="shared" si="10"/>
        <v>3.2890457454913306E-2</v>
      </c>
    </row>
    <row r="62" spans="1:17">
      <c r="A62" s="153"/>
      <c r="B62" s="153"/>
      <c r="C62" s="70" t="s">
        <v>512</v>
      </c>
      <c r="D62" s="69">
        <f>D61</f>
        <v>2.4870139944671171E-2</v>
      </c>
      <c r="E62" s="69">
        <f t="shared" ref="E62:O62" si="11">E61+D62</f>
        <v>0.11024459960716633</v>
      </c>
      <c r="F62" s="69">
        <f t="shared" si="11"/>
        <v>0.20980122160596759</v>
      </c>
      <c r="G62" s="69">
        <f t="shared" si="11"/>
        <v>0.34598555081879062</v>
      </c>
      <c r="H62" s="69">
        <f t="shared" si="11"/>
        <v>0.47627758037329193</v>
      </c>
      <c r="I62" s="69">
        <f t="shared" si="11"/>
        <v>0.60588452007511462</v>
      </c>
      <c r="J62" s="69">
        <f t="shared" si="11"/>
        <v>0.6860090754744983</v>
      </c>
      <c r="K62" s="69">
        <f t="shared" si="11"/>
        <v>0.77510681930515213</v>
      </c>
      <c r="L62" s="69">
        <f t="shared" si="11"/>
        <v>0.84940582231010364</v>
      </c>
      <c r="M62" s="69">
        <f t="shared" si="11"/>
        <v>0.90924660760379894</v>
      </c>
      <c r="N62" s="69">
        <f t="shared" si="11"/>
        <v>0.9671077971173514</v>
      </c>
      <c r="O62" s="69">
        <f t="shared" si="11"/>
        <v>0.99999825457226466</v>
      </c>
    </row>
    <row r="63" spans="1:17" ht="15" customHeight="1">
      <c r="H63" s="133" t="s">
        <v>597</v>
      </c>
      <c r="I63" s="133"/>
      <c r="J63" s="133"/>
      <c r="K63" s="133"/>
      <c r="L63" s="133"/>
      <c r="M63" s="133"/>
      <c r="N63" s="133"/>
      <c r="O63" s="133"/>
    </row>
    <row r="64" spans="1:17" ht="15">
      <c r="D64" s="79" t="s">
        <v>484</v>
      </c>
      <c r="E64" s="79"/>
      <c r="F64" s="79"/>
      <c r="G64" s="79"/>
      <c r="H64" s="79" t="s">
        <v>487</v>
      </c>
      <c r="I64" s="79"/>
      <c r="J64" s="79"/>
      <c r="K64" s="79" t="s">
        <v>490</v>
      </c>
      <c r="L64" s="79"/>
      <c r="M64" s="79"/>
      <c r="N64" s="79"/>
      <c r="O64" s="79"/>
    </row>
    <row r="65" spans="3:15" ht="15">
      <c r="D65" s="79" t="s">
        <v>485</v>
      </c>
      <c r="E65" s="79"/>
      <c r="F65" s="79"/>
      <c r="G65" s="79"/>
      <c r="H65" s="79" t="s">
        <v>488</v>
      </c>
      <c r="I65" s="79"/>
      <c r="J65" s="79"/>
      <c r="K65" s="79" t="s">
        <v>491</v>
      </c>
      <c r="L65" s="79"/>
      <c r="M65" s="79"/>
      <c r="N65" s="79"/>
      <c r="O65" s="79"/>
    </row>
    <row r="66" spans="3:15" ht="15">
      <c r="C66" s="75"/>
      <c r="D66" s="80" t="s">
        <v>486</v>
      </c>
      <c r="E66" s="80"/>
      <c r="F66" s="80"/>
      <c r="G66" s="80"/>
      <c r="H66" s="80" t="s">
        <v>489</v>
      </c>
      <c r="I66" s="80"/>
      <c r="J66" s="80"/>
      <c r="K66" s="80" t="s">
        <v>489</v>
      </c>
      <c r="L66" s="80"/>
      <c r="M66" s="80"/>
      <c r="N66" s="80"/>
      <c r="O66" s="80"/>
    </row>
    <row r="67" spans="3:15" ht="15"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3:15" ht="15"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3:15">
      <c r="D69" s="1"/>
      <c r="E69" s="2"/>
      <c r="F69" s="2"/>
      <c r="G69" s="3"/>
      <c r="H69" s="2"/>
      <c r="I69" s="4"/>
      <c r="J69" s="5"/>
      <c r="K69" s="6"/>
      <c r="L69" s="7"/>
      <c r="M69" s="8"/>
    </row>
    <row r="70" spans="3:15">
      <c r="D70" s="1"/>
      <c r="E70" s="2"/>
      <c r="F70" s="2"/>
      <c r="G70" s="3"/>
      <c r="H70" s="2"/>
      <c r="I70" s="4"/>
      <c r="J70" s="5"/>
      <c r="K70" s="6"/>
      <c r="L70" s="7"/>
      <c r="M70" s="8"/>
    </row>
    <row r="71" spans="3:15">
      <c r="D71" s="1"/>
      <c r="E71" s="2"/>
      <c r="F71" s="2"/>
      <c r="G71" s="3"/>
      <c r="H71" s="2"/>
      <c r="I71" s="4"/>
      <c r="J71" s="5"/>
      <c r="K71" s="6"/>
      <c r="L71" s="7"/>
      <c r="M71" s="8"/>
    </row>
    <row r="72" spans="3:15">
      <c r="D72" s="1"/>
      <c r="E72" s="2"/>
      <c r="F72" s="2"/>
      <c r="G72" s="3"/>
      <c r="H72" s="2"/>
      <c r="I72" s="4"/>
      <c r="J72" s="5"/>
      <c r="K72" s="6"/>
      <c r="L72" s="7"/>
      <c r="M72" s="8"/>
    </row>
    <row r="73" spans="3:15" ht="15"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3:15" ht="15"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3:15" ht="15">
      <c r="D75" s="80"/>
      <c r="E75" s="80"/>
      <c r="F75" s="80"/>
      <c r="G75" s="80"/>
      <c r="H75" s="80"/>
      <c r="I75" s="80"/>
      <c r="J75" s="80"/>
      <c r="K75" s="80"/>
      <c r="L75" s="80"/>
      <c r="M75" s="80"/>
    </row>
  </sheetData>
  <sheetProtection selectLockedCells="1" selectUnlockedCells="1"/>
  <mergeCells count="44">
    <mergeCell ref="A1:B3"/>
    <mergeCell ref="C1:O1"/>
    <mergeCell ref="C2:O3"/>
    <mergeCell ref="A4:G4"/>
    <mergeCell ref="A5:A6"/>
    <mergeCell ref="B5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61:B62"/>
    <mergeCell ref="H63:O63"/>
    <mergeCell ref="A52:A54"/>
    <mergeCell ref="B52:B54"/>
    <mergeCell ref="A55:A57"/>
    <mergeCell ref="B55:B57"/>
    <mergeCell ref="A58:B58"/>
    <mergeCell ref="A59:B60"/>
  </mergeCells>
  <printOptions horizontalCentered="1"/>
  <pageMargins left="0.19685039370078741" right="0.19685039370078741" top="3.937007874015748E-2" bottom="3.937007874015748E-2" header="0.51181102362204722" footer="0.51181102362204722"/>
  <pageSetup paperSize="9" scale="60" firstPageNumber="0" orientation="landscape" horizontalDpi="300" verticalDpi="300" r:id="rId1"/>
  <headerFooter alignWithMargins="0"/>
  <colBreaks count="1" manualBreakCount="1">
    <brk id="9" max="7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7" zoomScaleNormal="100" zoomScaleSheetLayoutView="100" workbookViewId="0">
      <selection activeCell="K17" sqref="K17"/>
    </sheetView>
  </sheetViews>
  <sheetFormatPr defaultRowHeight="14.25"/>
  <cols>
    <col min="3" max="3" width="22.25" customWidth="1"/>
    <col min="4" max="4" width="14.25" customWidth="1"/>
    <col min="5" max="5" width="14.375" customWidth="1"/>
  </cols>
  <sheetData>
    <row r="1" spans="1:5" ht="18" customHeight="1">
      <c r="A1" s="167"/>
      <c r="B1" s="167"/>
      <c r="C1" s="168" t="str">
        <f>'Orçamento '!C1:I1</f>
        <v>PREFEITURA MUNICIPAL DE ITATIBA</v>
      </c>
      <c r="D1" s="168"/>
      <c r="E1" s="168"/>
    </row>
    <row r="2" spans="1:5" ht="14.25" customHeight="1">
      <c r="A2" s="167"/>
      <c r="B2" s="167"/>
      <c r="C2" s="167"/>
      <c r="D2" s="167"/>
      <c r="E2" s="167"/>
    </row>
    <row r="3" spans="1:5" ht="54" customHeight="1">
      <c r="A3" s="167"/>
      <c r="B3" s="167"/>
      <c r="C3" s="169" t="str">
        <f>'Orçamento '!C3:I3</f>
        <v>OBRA: EXECUÇÃO DE OBRAS PARA IMPLANTAÇÃO DA AVENIDA MARGINAL</v>
      </c>
      <c r="D3" s="169"/>
      <c r="E3" s="169"/>
    </row>
    <row r="4" spans="1:5">
      <c r="A4" s="170"/>
      <c r="B4" s="170"/>
      <c r="C4" s="170"/>
      <c r="D4" s="170"/>
      <c r="E4" s="170"/>
    </row>
    <row r="5" spans="1:5" ht="21.75" customHeight="1">
      <c r="A5" s="162" t="s">
        <v>519</v>
      </c>
      <c r="B5" s="162"/>
      <c r="C5" s="162"/>
      <c r="D5" s="162"/>
      <c r="E5" s="81">
        <v>0.5</v>
      </c>
    </row>
    <row r="6" spans="1:5" ht="24" customHeight="1">
      <c r="A6" s="162" t="s">
        <v>520</v>
      </c>
      <c r="B6" s="162"/>
      <c r="C6" s="162"/>
      <c r="D6" s="162"/>
      <c r="E6" s="81">
        <v>0.05</v>
      </c>
    </row>
    <row r="7" spans="1:5">
      <c r="E7" s="82"/>
    </row>
    <row r="8" spans="1:5" ht="15">
      <c r="B8" s="83" t="s">
        <v>521</v>
      </c>
      <c r="C8" s="83"/>
      <c r="D8" s="84"/>
      <c r="E8" s="85"/>
    </row>
    <row r="9" spans="1:5">
      <c r="E9" s="82"/>
    </row>
    <row r="10" spans="1:5">
      <c r="A10" s="163"/>
      <c r="B10" s="164" t="s">
        <v>522</v>
      </c>
      <c r="C10" s="164" t="s">
        <v>523</v>
      </c>
      <c r="D10" s="165" t="s">
        <v>524</v>
      </c>
      <c r="E10" s="86" t="s">
        <v>525</v>
      </c>
    </row>
    <row r="11" spans="1:5" ht="25.5">
      <c r="A11" s="163"/>
      <c r="B11" s="164"/>
      <c r="C11" s="164"/>
      <c r="D11" s="165"/>
      <c r="E11" s="87" t="s">
        <v>526</v>
      </c>
    </row>
    <row r="12" spans="1:5">
      <c r="A12" s="163"/>
      <c r="B12" s="88" t="s">
        <v>19</v>
      </c>
      <c r="C12" s="89" t="s">
        <v>527</v>
      </c>
      <c r="D12" s="90" t="s">
        <v>528</v>
      </c>
      <c r="E12" s="91">
        <v>4.9000000000000002E-2</v>
      </c>
    </row>
    <row r="13" spans="1:5">
      <c r="A13" s="163"/>
      <c r="B13" s="88" t="s">
        <v>24</v>
      </c>
      <c r="C13" s="89" t="s">
        <v>529</v>
      </c>
      <c r="D13" s="92" t="s">
        <v>530</v>
      </c>
      <c r="E13" s="91">
        <v>0.01</v>
      </c>
    </row>
    <row r="14" spans="1:5">
      <c r="A14" s="163"/>
      <c r="B14" s="88" t="s">
        <v>29</v>
      </c>
      <c r="C14" s="89" t="s">
        <v>531</v>
      </c>
      <c r="D14" s="92" t="s">
        <v>532</v>
      </c>
      <c r="E14" s="91">
        <v>1.2699999999999999E-2</v>
      </c>
    </row>
    <row r="15" spans="1:5">
      <c r="A15" s="163"/>
      <c r="B15" s="88" t="s">
        <v>33</v>
      </c>
      <c r="C15" s="89" t="s">
        <v>533</v>
      </c>
      <c r="D15" s="92" t="s">
        <v>534</v>
      </c>
      <c r="E15" s="91">
        <v>1.3899999999999999E-2</v>
      </c>
    </row>
    <row r="16" spans="1:5">
      <c r="A16" s="163"/>
      <c r="B16" s="88" t="s">
        <v>36</v>
      </c>
      <c r="C16" s="89" t="s">
        <v>535</v>
      </c>
      <c r="D16" s="92" t="s">
        <v>536</v>
      </c>
      <c r="E16" s="91">
        <v>7.2999999999999995E-2</v>
      </c>
    </row>
    <row r="17" spans="1:21" ht="42.75">
      <c r="A17" s="163"/>
      <c r="B17" s="88" t="s">
        <v>41</v>
      </c>
      <c r="C17" s="93" t="s">
        <v>537</v>
      </c>
      <c r="D17" s="92" t="s">
        <v>538</v>
      </c>
      <c r="E17" s="91">
        <v>3.6499999999999998E-2</v>
      </c>
    </row>
    <row r="18" spans="1:21">
      <c r="A18" s="163"/>
      <c r="B18" s="88" t="s">
        <v>45</v>
      </c>
      <c r="C18" s="89" t="s">
        <v>539</v>
      </c>
      <c r="D18" s="92" t="s">
        <v>540</v>
      </c>
      <c r="E18" s="91">
        <v>2.5000000000000001E-2</v>
      </c>
      <c r="U18">
        <v>0</v>
      </c>
    </row>
    <row r="19" spans="1:21" ht="42.75">
      <c r="A19" s="163"/>
      <c r="B19" s="88" t="s">
        <v>48</v>
      </c>
      <c r="C19" s="93" t="s">
        <v>541</v>
      </c>
      <c r="D19" s="94" t="s">
        <v>542</v>
      </c>
      <c r="E19" s="91">
        <v>0</v>
      </c>
    </row>
    <row r="20" spans="1:21" ht="15">
      <c r="A20" s="163"/>
      <c r="B20" s="95" t="s">
        <v>52</v>
      </c>
      <c r="C20" s="96" t="s">
        <v>543</v>
      </c>
      <c r="D20" s="97"/>
      <c r="E20" s="98">
        <f>(((1+E12+E13+E14)*(1+E15)*(1+E16))/(1-E17-E18-E19))-1</f>
        <v>0.24232092060735178</v>
      </c>
    </row>
    <row r="21" spans="1:21">
      <c r="A21" s="99"/>
      <c r="B21" s="99"/>
      <c r="C21" s="99"/>
      <c r="D21" s="99"/>
      <c r="E21" s="100"/>
    </row>
    <row r="22" spans="1:21">
      <c r="A22" s="99"/>
      <c r="B22" s="99"/>
      <c r="C22" s="99"/>
      <c r="D22" s="99"/>
      <c r="E22" s="100"/>
    </row>
    <row r="23" spans="1:21">
      <c r="A23" s="166" t="s">
        <v>544</v>
      </c>
      <c r="B23" s="166"/>
      <c r="C23" s="166"/>
      <c r="D23" s="166"/>
      <c r="E23" s="166"/>
    </row>
    <row r="24" spans="1:21">
      <c r="E24" s="82"/>
    </row>
    <row r="25" spans="1:21" ht="15">
      <c r="A25" s="133" t="s">
        <v>483</v>
      </c>
      <c r="B25" s="133"/>
      <c r="C25" s="133"/>
      <c r="D25" s="133"/>
      <c r="E25" s="133"/>
      <c r="F25" s="101"/>
      <c r="G25" s="101"/>
      <c r="H25" s="101"/>
    </row>
    <row r="26" spans="1:21">
      <c r="B26" s="2"/>
      <c r="C26" s="102"/>
      <c r="D26" s="59"/>
      <c r="E26" s="60"/>
      <c r="F26" s="60"/>
      <c r="G26" s="61"/>
      <c r="H26" s="7"/>
    </row>
    <row r="27" spans="1:21">
      <c r="B27" s="2"/>
      <c r="C27" s="102"/>
      <c r="D27" s="59"/>
      <c r="E27" s="60"/>
      <c r="F27" s="60"/>
      <c r="G27" s="61"/>
      <c r="H27" s="7"/>
    </row>
    <row r="28" spans="1:21">
      <c r="B28" s="2"/>
      <c r="C28" s="102"/>
      <c r="D28" s="59"/>
      <c r="E28" s="60"/>
      <c r="F28" s="60"/>
      <c r="G28" s="61"/>
      <c r="H28" s="7"/>
    </row>
    <row r="29" spans="1:21" ht="15">
      <c r="A29" s="133" t="s">
        <v>484</v>
      </c>
      <c r="B29" s="133"/>
      <c r="C29" s="133"/>
      <c r="D29" s="133"/>
      <c r="E29" s="133"/>
      <c r="F29" s="79"/>
      <c r="G29" s="79"/>
      <c r="H29" s="79"/>
      <c r="I29" s="79"/>
      <c r="J29" s="79"/>
    </row>
    <row r="30" spans="1:21" ht="15">
      <c r="A30" s="133" t="s">
        <v>485</v>
      </c>
      <c r="B30" s="133"/>
      <c r="C30" s="133"/>
      <c r="D30" s="133"/>
      <c r="E30" s="133"/>
      <c r="F30" s="79"/>
      <c r="G30" s="79"/>
      <c r="H30" s="79"/>
      <c r="I30" s="79"/>
      <c r="J30" s="79"/>
    </row>
    <row r="31" spans="1:21" ht="15">
      <c r="A31" s="132" t="s">
        <v>486</v>
      </c>
      <c r="B31" s="132"/>
      <c r="C31" s="132"/>
      <c r="D31" s="132"/>
      <c r="E31" s="132"/>
      <c r="F31" s="80"/>
      <c r="G31" s="80"/>
      <c r="H31" s="80"/>
      <c r="I31" s="80"/>
      <c r="J31" s="80"/>
    </row>
    <row r="32" spans="1:21">
      <c r="A32" s="1"/>
      <c r="B32" s="2"/>
      <c r="C32" s="2"/>
      <c r="D32" s="3"/>
      <c r="E32" s="2"/>
      <c r="F32" s="4"/>
      <c r="G32" s="5"/>
      <c r="H32" s="6"/>
      <c r="I32" s="7"/>
      <c r="J32" s="8"/>
    </row>
    <row r="33" spans="1:10">
      <c r="A33" s="1"/>
      <c r="B33" s="2"/>
      <c r="C33" s="2"/>
      <c r="D33" s="3"/>
      <c r="E33" s="2"/>
      <c r="F33" s="4"/>
      <c r="G33" s="5"/>
      <c r="H33" s="6"/>
      <c r="I33" s="7"/>
      <c r="J33" s="8"/>
    </row>
    <row r="34" spans="1:10">
      <c r="A34" s="1"/>
      <c r="B34" s="2"/>
      <c r="C34" s="2"/>
      <c r="D34" s="3"/>
      <c r="E34" s="2"/>
      <c r="F34" s="4"/>
      <c r="G34" s="5"/>
      <c r="H34" s="6"/>
      <c r="I34" s="7"/>
      <c r="J34" s="8"/>
    </row>
    <row r="35" spans="1:10">
      <c r="A35" s="1"/>
      <c r="B35" s="2"/>
      <c r="C35" s="2"/>
      <c r="D35" s="3"/>
      <c r="E35" s="2"/>
      <c r="F35" s="4"/>
      <c r="G35" s="5"/>
      <c r="H35" s="6"/>
      <c r="I35" s="7"/>
      <c r="J35" s="8"/>
    </row>
    <row r="36" spans="1:10" ht="15">
      <c r="A36" s="133" t="s">
        <v>487</v>
      </c>
      <c r="B36" s="133"/>
      <c r="C36" s="133"/>
      <c r="D36" s="133"/>
      <c r="E36" s="133"/>
      <c r="F36" s="79"/>
      <c r="G36" s="79"/>
      <c r="H36" s="79"/>
      <c r="I36" s="79"/>
      <c r="J36" s="79"/>
    </row>
    <row r="37" spans="1:10" ht="15">
      <c r="A37" s="133" t="s">
        <v>488</v>
      </c>
      <c r="B37" s="133"/>
      <c r="C37" s="133"/>
      <c r="D37" s="133"/>
      <c r="E37" s="133"/>
      <c r="F37" s="79"/>
      <c r="G37" s="79"/>
      <c r="H37" s="79"/>
      <c r="I37" s="79"/>
      <c r="J37" s="79"/>
    </row>
    <row r="38" spans="1:10" ht="15">
      <c r="A38" s="132" t="s">
        <v>489</v>
      </c>
      <c r="B38" s="132"/>
      <c r="C38" s="132"/>
      <c r="D38" s="132"/>
      <c r="E38" s="132"/>
      <c r="F38" s="80"/>
      <c r="G38" s="80"/>
      <c r="H38" s="80"/>
      <c r="I38" s="80"/>
      <c r="J38" s="80"/>
    </row>
    <row r="39" spans="1:10">
      <c r="A39" s="1"/>
      <c r="B39" s="2"/>
      <c r="C39" s="2"/>
      <c r="D39" s="3"/>
      <c r="E39" s="2"/>
      <c r="F39" s="4"/>
      <c r="G39" s="5"/>
      <c r="H39" s="6"/>
      <c r="I39" s="7"/>
      <c r="J39" s="8"/>
    </row>
    <row r="40" spans="1:10">
      <c r="A40" s="1"/>
      <c r="B40" s="2"/>
      <c r="C40" s="2"/>
      <c r="D40" s="3"/>
      <c r="E40" s="2"/>
      <c r="F40" s="4"/>
      <c r="G40" s="5"/>
      <c r="H40" s="6"/>
      <c r="I40" s="7"/>
      <c r="J40" s="8"/>
    </row>
    <row r="41" spans="1:10">
      <c r="A41" s="1"/>
      <c r="B41" s="2"/>
      <c r="C41" s="2"/>
      <c r="D41" s="3"/>
      <c r="E41" s="2"/>
      <c r="F41" s="4"/>
      <c r="G41" s="5"/>
      <c r="H41" s="6"/>
      <c r="I41" s="7"/>
      <c r="J41" s="8"/>
    </row>
    <row r="42" spans="1:10">
      <c r="A42" s="1"/>
      <c r="B42" s="2"/>
      <c r="C42" s="2"/>
      <c r="D42" s="3"/>
      <c r="E42" s="2"/>
      <c r="F42" s="4"/>
      <c r="G42" s="5"/>
      <c r="H42" s="6"/>
      <c r="I42" s="7"/>
      <c r="J42" s="8"/>
    </row>
    <row r="43" spans="1:10" ht="15">
      <c r="A43" s="133" t="s">
        <v>490</v>
      </c>
      <c r="B43" s="133"/>
      <c r="C43" s="133"/>
      <c r="D43" s="133"/>
      <c r="E43" s="133"/>
      <c r="F43" s="79"/>
      <c r="G43" s="79"/>
      <c r="H43" s="79"/>
      <c r="I43" s="79"/>
      <c r="J43" s="79"/>
    </row>
    <row r="44" spans="1:10" ht="15">
      <c r="A44" s="133" t="s">
        <v>491</v>
      </c>
      <c r="B44" s="133"/>
      <c r="C44" s="133"/>
      <c r="D44" s="133"/>
      <c r="E44" s="133"/>
      <c r="F44" s="79"/>
      <c r="G44" s="79"/>
      <c r="H44" s="79"/>
      <c r="I44" s="79"/>
      <c r="J44" s="79"/>
    </row>
    <row r="45" spans="1:10" ht="15">
      <c r="A45" s="132" t="s">
        <v>489</v>
      </c>
      <c r="B45" s="132"/>
      <c r="C45" s="132"/>
      <c r="D45" s="132"/>
      <c r="E45" s="132"/>
      <c r="F45" s="80"/>
      <c r="G45" s="80"/>
      <c r="H45" s="80"/>
      <c r="I45" s="80"/>
      <c r="J45" s="80"/>
    </row>
  </sheetData>
  <sheetProtection selectLockedCells="1" selectUnlockedCells="1"/>
  <mergeCells count="22">
    <mergeCell ref="A1:B3"/>
    <mergeCell ref="C1:E1"/>
    <mergeCell ref="C2:E2"/>
    <mergeCell ref="C3:E3"/>
    <mergeCell ref="A4:E4"/>
    <mergeCell ref="A5:D5"/>
    <mergeCell ref="A6:D6"/>
    <mergeCell ref="A10:A20"/>
    <mergeCell ref="B10:B11"/>
    <mergeCell ref="C10:C11"/>
    <mergeCell ref="D10:D11"/>
    <mergeCell ref="A23:E23"/>
    <mergeCell ref="A38:E38"/>
    <mergeCell ref="A43:E43"/>
    <mergeCell ref="A44:E44"/>
    <mergeCell ref="A45:E45"/>
    <mergeCell ref="A25:E25"/>
    <mergeCell ref="A29:E29"/>
    <mergeCell ref="A30:E30"/>
    <mergeCell ref="A31:E31"/>
    <mergeCell ref="A36:E36"/>
    <mergeCell ref="A37:E37"/>
  </mergeCells>
  <printOptions horizontalCentered="1"/>
  <pageMargins left="0.51180555555555551" right="0.51180555555555551" top="0.78749999999999998" bottom="0.78749999999999998" header="0.51180555555555551" footer="0.51180555555555551"/>
  <pageSetup paperSize="9" scale="93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/>
  </sheetViews>
  <sheetFormatPr defaultRowHeight="14.25"/>
  <cols>
    <col min="1" max="1" width="12.125" customWidth="1"/>
    <col min="3" max="3" width="55.125" customWidth="1"/>
    <col min="7" max="7" width="11.75" style="103" customWidth="1"/>
  </cols>
  <sheetData>
    <row r="1" spans="1:7" ht="15">
      <c r="A1" s="104" t="s">
        <v>546</v>
      </c>
      <c r="B1" s="104" t="s">
        <v>547</v>
      </c>
      <c r="C1" s="104" t="s">
        <v>548</v>
      </c>
      <c r="D1" s="104" t="s">
        <v>549</v>
      </c>
      <c r="E1" s="104" t="s">
        <v>550</v>
      </c>
      <c r="F1" s="104" t="s">
        <v>551</v>
      </c>
      <c r="G1" s="105" t="s">
        <v>552</v>
      </c>
    </row>
    <row r="2" spans="1:7">
      <c r="A2" s="106" t="s">
        <v>553</v>
      </c>
      <c r="B2" s="106">
        <v>1</v>
      </c>
      <c r="C2" s="106" t="s">
        <v>554</v>
      </c>
      <c r="D2" s="106" t="s">
        <v>61</v>
      </c>
      <c r="E2" s="106"/>
      <c r="F2" s="106"/>
      <c r="G2" s="107">
        <f>SUM(G3:G9)</f>
        <v>1395.0608999999999</v>
      </c>
    </row>
    <row r="3" spans="1:7" ht="33.75">
      <c r="A3" s="108" t="s">
        <v>555</v>
      </c>
      <c r="B3" s="108">
        <v>103324</v>
      </c>
      <c r="C3" s="109" t="s">
        <v>556</v>
      </c>
      <c r="D3" s="108" t="s">
        <v>557</v>
      </c>
      <c r="E3" s="108">
        <v>3.7</v>
      </c>
      <c r="F3" s="108">
        <v>75.41</v>
      </c>
      <c r="G3" s="110">
        <f t="shared" ref="G3:G9" si="0">F3*E3</f>
        <v>279.017</v>
      </c>
    </row>
    <row r="4" spans="1:7">
      <c r="A4" s="108" t="s">
        <v>37</v>
      </c>
      <c r="B4" s="108" t="s">
        <v>558</v>
      </c>
      <c r="C4" s="109" t="s">
        <v>559</v>
      </c>
      <c r="D4" s="108" t="s">
        <v>557</v>
      </c>
      <c r="E4" s="108">
        <v>4.5</v>
      </c>
      <c r="F4" s="108">
        <v>7.02</v>
      </c>
      <c r="G4" s="110">
        <f t="shared" si="0"/>
        <v>31.589999999999996</v>
      </c>
    </row>
    <row r="5" spans="1:7">
      <c r="A5" s="108" t="s">
        <v>37</v>
      </c>
      <c r="B5" s="108" t="s">
        <v>560</v>
      </c>
      <c r="C5" s="109" t="s">
        <v>561</v>
      </c>
      <c r="D5" s="108" t="s">
        <v>557</v>
      </c>
      <c r="E5" s="108">
        <v>4.5</v>
      </c>
      <c r="F5" s="108">
        <v>22.66</v>
      </c>
      <c r="G5" s="110">
        <f t="shared" si="0"/>
        <v>101.97</v>
      </c>
    </row>
    <row r="6" spans="1:7" ht="22.5">
      <c r="A6" s="108" t="s">
        <v>555</v>
      </c>
      <c r="B6" s="108">
        <v>102476</v>
      </c>
      <c r="C6" s="109" t="s">
        <v>562</v>
      </c>
      <c r="D6" s="108" t="s">
        <v>563</v>
      </c>
      <c r="E6" s="108">
        <v>0.51</v>
      </c>
      <c r="F6" s="108">
        <v>509.86</v>
      </c>
      <c r="G6" s="110">
        <f t="shared" si="0"/>
        <v>260.02859999999998</v>
      </c>
    </row>
    <row r="7" spans="1:7">
      <c r="A7" s="108" t="s">
        <v>37</v>
      </c>
      <c r="B7" s="108" t="s">
        <v>564</v>
      </c>
      <c r="C7" s="109" t="s">
        <v>565</v>
      </c>
      <c r="D7" s="108" t="s">
        <v>563</v>
      </c>
      <c r="E7" s="108">
        <v>0.51</v>
      </c>
      <c r="F7" s="108">
        <v>118.63</v>
      </c>
      <c r="G7" s="110">
        <f t="shared" si="0"/>
        <v>60.501300000000001</v>
      </c>
    </row>
    <row r="8" spans="1:7">
      <c r="A8" s="108" t="s">
        <v>20</v>
      </c>
      <c r="B8" s="108">
        <v>40197</v>
      </c>
      <c r="C8" s="109" t="s">
        <v>566</v>
      </c>
      <c r="D8" s="108" t="s">
        <v>563</v>
      </c>
      <c r="E8" s="108">
        <v>0.4</v>
      </c>
      <c r="F8" s="108">
        <v>891.57</v>
      </c>
      <c r="G8" s="110">
        <f t="shared" si="0"/>
        <v>356.62800000000004</v>
      </c>
    </row>
    <row r="9" spans="1:7">
      <c r="A9" s="108" t="s">
        <v>37</v>
      </c>
      <c r="B9" s="108" t="s">
        <v>567</v>
      </c>
      <c r="C9" s="109" t="s">
        <v>568</v>
      </c>
      <c r="D9" s="108" t="s">
        <v>563</v>
      </c>
      <c r="E9" s="108">
        <v>1.4</v>
      </c>
      <c r="F9" s="108">
        <v>218.09</v>
      </c>
      <c r="G9" s="110">
        <f t="shared" si="0"/>
        <v>305.32599999999996</v>
      </c>
    </row>
    <row r="10" spans="1:7">
      <c r="A10" s="171"/>
      <c r="B10" s="171"/>
      <c r="C10" s="171"/>
      <c r="D10" s="171"/>
      <c r="E10" s="171"/>
      <c r="F10" s="171"/>
      <c r="G10" s="171"/>
    </row>
    <row r="11" spans="1:7">
      <c r="A11" s="106" t="s">
        <v>553</v>
      </c>
      <c r="B11" s="106">
        <v>2</v>
      </c>
      <c r="C11" s="106" t="s">
        <v>326</v>
      </c>
      <c r="D11" s="106" t="s">
        <v>460</v>
      </c>
      <c r="E11" s="106"/>
      <c r="F11" s="106"/>
      <c r="G11" s="107">
        <f>SUM(G12:G14)</f>
        <v>335.20319999999998</v>
      </c>
    </row>
    <row r="12" spans="1:7">
      <c r="A12" s="108" t="s">
        <v>37</v>
      </c>
      <c r="B12" s="108" t="s">
        <v>569</v>
      </c>
      <c r="C12" s="109" t="s">
        <v>227</v>
      </c>
      <c r="D12" s="108" t="s">
        <v>563</v>
      </c>
      <c r="E12" s="108">
        <v>0.48</v>
      </c>
      <c r="F12" s="108">
        <v>465.21</v>
      </c>
      <c r="G12" s="110">
        <f>F12*E12</f>
        <v>223.30079999999998</v>
      </c>
    </row>
    <row r="13" spans="1:7">
      <c r="A13" s="108" t="s">
        <v>37</v>
      </c>
      <c r="B13" s="108" t="s">
        <v>564</v>
      </c>
      <c r="C13" s="109" t="s">
        <v>570</v>
      </c>
      <c r="D13" s="108" t="s">
        <v>563</v>
      </c>
      <c r="E13" s="108">
        <v>0.48</v>
      </c>
      <c r="F13" s="108">
        <v>118.63</v>
      </c>
      <c r="G13" s="110">
        <f>F13*E13</f>
        <v>56.942399999999999</v>
      </c>
    </row>
    <row r="14" spans="1:7">
      <c r="A14" s="108" t="s">
        <v>37</v>
      </c>
      <c r="B14" s="108" t="s">
        <v>571</v>
      </c>
      <c r="C14" s="109" t="s">
        <v>396</v>
      </c>
      <c r="D14" s="108" t="s">
        <v>572</v>
      </c>
      <c r="E14" s="108">
        <v>4.8</v>
      </c>
      <c r="F14" s="108">
        <v>11.45</v>
      </c>
      <c r="G14" s="110">
        <f>F14*E14</f>
        <v>54.959999999999994</v>
      </c>
    </row>
    <row r="15" spans="1:7">
      <c r="A15" s="171"/>
      <c r="B15" s="171"/>
      <c r="C15" s="171"/>
      <c r="D15" s="171"/>
      <c r="E15" s="171"/>
      <c r="F15" s="171"/>
      <c r="G15" s="171"/>
    </row>
    <row r="16" spans="1:7" s="114" customFormat="1" ht="28.5">
      <c r="A16" s="111" t="s">
        <v>553</v>
      </c>
      <c r="B16" s="111">
        <v>3</v>
      </c>
      <c r="C16" s="112" t="s">
        <v>573</v>
      </c>
      <c r="D16" s="111" t="s">
        <v>61</v>
      </c>
      <c r="E16" s="111"/>
      <c r="F16" s="111"/>
      <c r="G16" s="113">
        <f>SUM(G17:G19)</f>
        <v>335.20319999999998</v>
      </c>
    </row>
    <row r="17" spans="1:7">
      <c r="A17" s="108" t="s">
        <v>37</v>
      </c>
      <c r="B17" s="108" t="s">
        <v>569</v>
      </c>
      <c r="C17" s="109" t="s">
        <v>227</v>
      </c>
      <c r="D17" s="108" t="s">
        <v>563</v>
      </c>
      <c r="E17" s="108">
        <v>0.48</v>
      </c>
      <c r="F17" s="108">
        <v>465.21</v>
      </c>
      <c r="G17" s="110">
        <f>F17*E17</f>
        <v>223.30079999999998</v>
      </c>
    </row>
    <row r="18" spans="1:7">
      <c r="A18" s="108" t="s">
        <v>37</v>
      </c>
      <c r="B18" s="108" t="s">
        <v>564</v>
      </c>
      <c r="C18" s="109" t="s">
        <v>570</v>
      </c>
      <c r="D18" s="108" t="s">
        <v>563</v>
      </c>
      <c r="E18" s="108">
        <v>0.48</v>
      </c>
      <c r="F18" s="108">
        <v>118.63</v>
      </c>
      <c r="G18" s="110">
        <f>F18*E18</f>
        <v>56.942399999999999</v>
      </c>
    </row>
    <row r="19" spans="1:7">
      <c r="A19" s="108" t="s">
        <v>37</v>
      </c>
      <c r="B19" s="108" t="s">
        <v>571</v>
      </c>
      <c r="C19" s="109" t="s">
        <v>396</v>
      </c>
      <c r="D19" s="108" t="s">
        <v>572</v>
      </c>
      <c r="E19" s="108">
        <v>4.8</v>
      </c>
      <c r="F19" s="108">
        <v>11.45</v>
      </c>
      <c r="G19" s="110">
        <f>F19*E19</f>
        <v>54.959999999999994</v>
      </c>
    </row>
    <row r="20" spans="1:7">
      <c r="A20" s="171"/>
      <c r="B20" s="171"/>
      <c r="C20" s="171"/>
      <c r="D20" s="171"/>
      <c r="E20" s="171"/>
      <c r="F20" s="171"/>
      <c r="G20" s="171"/>
    </row>
    <row r="21" spans="1:7">
      <c r="A21" s="106" t="s">
        <v>553</v>
      </c>
      <c r="B21" s="106">
        <v>4</v>
      </c>
      <c r="C21" s="115" t="s">
        <v>574</v>
      </c>
      <c r="D21" s="106" t="s">
        <v>460</v>
      </c>
      <c r="E21" s="106"/>
      <c r="F21" s="106"/>
      <c r="G21" s="107">
        <f>SUM(G22:G24)</f>
        <v>474.87120000000004</v>
      </c>
    </row>
    <row r="22" spans="1:7">
      <c r="A22" s="108" t="s">
        <v>37</v>
      </c>
      <c r="B22" s="108" t="s">
        <v>569</v>
      </c>
      <c r="C22" s="109" t="s">
        <v>227</v>
      </c>
      <c r="D22" s="108" t="s">
        <v>563</v>
      </c>
      <c r="E22" s="108">
        <v>0.68</v>
      </c>
      <c r="F22" s="108">
        <v>465.21</v>
      </c>
      <c r="G22" s="110">
        <f>F22*E22</f>
        <v>316.34280000000001</v>
      </c>
    </row>
    <row r="23" spans="1:7">
      <c r="A23" s="108" t="s">
        <v>37</v>
      </c>
      <c r="B23" s="108" t="s">
        <v>564</v>
      </c>
      <c r="C23" s="109" t="s">
        <v>570</v>
      </c>
      <c r="D23" s="108" t="s">
        <v>563</v>
      </c>
      <c r="E23" s="108">
        <v>0.68</v>
      </c>
      <c r="F23" s="108">
        <v>118.63</v>
      </c>
      <c r="G23" s="110">
        <f>F23*E23</f>
        <v>80.668400000000005</v>
      </c>
    </row>
    <row r="24" spans="1:7">
      <c r="A24" s="108" t="s">
        <v>37</v>
      </c>
      <c r="B24" s="108" t="s">
        <v>571</v>
      </c>
      <c r="C24" s="109" t="s">
        <v>396</v>
      </c>
      <c r="D24" s="108" t="s">
        <v>572</v>
      </c>
      <c r="E24" s="108">
        <v>6.8</v>
      </c>
      <c r="F24" s="108">
        <v>11.45</v>
      </c>
      <c r="G24" s="110">
        <f>F24*E24</f>
        <v>77.86</v>
      </c>
    </row>
    <row r="25" spans="1:7">
      <c r="A25" s="171"/>
      <c r="B25" s="171"/>
      <c r="C25" s="171"/>
      <c r="D25" s="171"/>
      <c r="E25" s="171"/>
      <c r="F25" s="171"/>
      <c r="G25" s="171"/>
    </row>
    <row r="26" spans="1:7" ht="28.5">
      <c r="A26" s="106" t="s">
        <v>553</v>
      </c>
      <c r="B26" s="106">
        <v>5</v>
      </c>
      <c r="C26" s="115" t="s">
        <v>575</v>
      </c>
      <c r="D26" s="106" t="s">
        <v>61</v>
      </c>
      <c r="E26" s="106"/>
      <c r="F26" s="106"/>
      <c r="G26" s="107">
        <f>SUM(G27:G30)</f>
        <v>18050.940400000003</v>
      </c>
    </row>
    <row r="27" spans="1:7">
      <c r="A27" s="108" t="s">
        <v>37</v>
      </c>
      <c r="B27" s="108" t="s">
        <v>567</v>
      </c>
      <c r="C27" s="109" t="s">
        <v>568</v>
      </c>
      <c r="D27" s="108" t="s">
        <v>563</v>
      </c>
      <c r="E27" s="108">
        <v>0.81</v>
      </c>
      <c r="F27" s="108">
        <v>218.09</v>
      </c>
      <c r="G27" s="110">
        <f>F27*E27</f>
        <v>176.65290000000002</v>
      </c>
    </row>
    <row r="28" spans="1:7" ht="28.5">
      <c r="A28" s="108" t="s">
        <v>273</v>
      </c>
      <c r="B28" s="108">
        <v>2</v>
      </c>
      <c r="C28" s="116" t="s">
        <v>576</v>
      </c>
      <c r="D28" s="108" t="s">
        <v>577</v>
      </c>
      <c r="E28" s="108">
        <v>1</v>
      </c>
      <c r="F28" s="108">
        <v>17619</v>
      </c>
      <c r="G28" s="110">
        <f>F28*E28</f>
        <v>17619</v>
      </c>
    </row>
    <row r="29" spans="1:7" ht="22.5">
      <c r="A29" s="108" t="s">
        <v>555</v>
      </c>
      <c r="B29" s="108">
        <v>89272</v>
      </c>
      <c r="C29" s="109" t="s">
        <v>578</v>
      </c>
      <c r="D29" s="108" t="s">
        <v>51</v>
      </c>
      <c r="E29" s="108">
        <v>0.65</v>
      </c>
      <c r="F29" s="108">
        <v>195.56</v>
      </c>
      <c r="G29" s="110">
        <f>F29*E29</f>
        <v>127.114</v>
      </c>
    </row>
    <row r="30" spans="1:7" ht="33.75">
      <c r="A30" s="108" t="s">
        <v>555</v>
      </c>
      <c r="B30" s="108">
        <v>5824</v>
      </c>
      <c r="C30" s="109" t="s">
        <v>579</v>
      </c>
      <c r="D30" s="108" t="s">
        <v>51</v>
      </c>
      <c r="E30" s="108">
        <v>0.65</v>
      </c>
      <c r="F30" s="108">
        <v>197.19</v>
      </c>
      <c r="G30" s="110">
        <f>F30*E30</f>
        <v>128.17349999999999</v>
      </c>
    </row>
    <row r="31" spans="1:7">
      <c r="A31" s="171"/>
      <c r="B31" s="171"/>
      <c r="C31" s="171"/>
      <c r="D31" s="171"/>
      <c r="E31" s="171"/>
      <c r="F31" s="171"/>
      <c r="G31" s="171"/>
    </row>
    <row r="32" spans="1:7" ht="28.5">
      <c r="A32" s="106" t="s">
        <v>553</v>
      </c>
      <c r="B32" s="106">
        <v>6</v>
      </c>
      <c r="C32" s="115" t="s">
        <v>580</v>
      </c>
      <c r="D32" s="106" t="s">
        <v>460</v>
      </c>
      <c r="E32" s="106"/>
      <c r="F32" s="106"/>
      <c r="G32" s="107">
        <f>SUM(G33:G34)</f>
        <v>261.61099999999999</v>
      </c>
    </row>
    <row r="33" spans="1:9">
      <c r="A33" s="108" t="s">
        <v>555</v>
      </c>
      <c r="B33" s="108">
        <v>88249</v>
      </c>
      <c r="C33" s="109" t="s">
        <v>581</v>
      </c>
      <c r="D33" s="108" t="s">
        <v>114</v>
      </c>
      <c r="E33" s="108">
        <v>3.8</v>
      </c>
      <c r="F33" s="108">
        <v>39.979999999999997</v>
      </c>
      <c r="G33" s="110">
        <f>F33*E33</f>
        <v>151.92399999999998</v>
      </c>
    </row>
    <row r="34" spans="1:9">
      <c r="A34" s="108" t="s">
        <v>555</v>
      </c>
      <c r="B34" s="108">
        <v>88321</v>
      </c>
      <c r="C34" s="109" t="s">
        <v>582</v>
      </c>
      <c r="D34" s="108" t="s">
        <v>114</v>
      </c>
      <c r="E34" s="108">
        <v>1.9</v>
      </c>
      <c r="F34" s="108">
        <v>57.73</v>
      </c>
      <c r="G34" s="110">
        <f>F34*E34</f>
        <v>109.68699999999998</v>
      </c>
    </row>
    <row r="39" spans="1:9" ht="15">
      <c r="C39" s="79"/>
      <c r="D39" s="79"/>
      <c r="E39" s="79"/>
      <c r="F39" s="79"/>
      <c r="G39" s="117"/>
    </row>
    <row r="40" spans="1:9" ht="15" customHeight="1">
      <c r="C40" s="133" t="s">
        <v>545</v>
      </c>
      <c r="D40" s="133"/>
      <c r="E40" s="133"/>
      <c r="F40" s="133"/>
      <c r="G40" s="133"/>
    </row>
    <row r="41" spans="1:9">
      <c r="D41" s="2"/>
      <c r="E41" s="102"/>
      <c r="F41" s="59"/>
      <c r="G41" s="118"/>
    </row>
    <row r="42" spans="1:9">
      <c r="D42" s="2"/>
      <c r="E42" s="102"/>
      <c r="F42" s="59"/>
      <c r="G42" s="118"/>
    </row>
    <row r="43" spans="1:9" ht="15">
      <c r="C43" s="133" t="s">
        <v>484</v>
      </c>
      <c r="D43" s="133"/>
      <c r="E43" s="133"/>
      <c r="F43" s="133"/>
      <c r="G43" s="133"/>
      <c r="H43" s="79"/>
    </row>
    <row r="44" spans="1:9" ht="15" customHeight="1">
      <c r="C44" s="133" t="s">
        <v>485</v>
      </c>
      <c r="D44" s="133"/>
      <c r="E44" s="133"/>
      <c r="F44" s="133"/>
      <c r="G44" s="133"/>
      <c r="H44" s="79"/>
    </row>
    <row r="45" spans="1:9" ht="15" customHeight="1">
      <c r="C45" s="132" t="s">
        <v>486</v>
      </c>
      <c r="D45" s="132"/>
      <c r="E45" s="132"/>
      <c r="F45" s="132"/>
      <c r="G45" s="132"/>
      <c r="H45" s="80"/>
      <c r="I45" s="80"/>
    </row>
    <row r="46" spans="1:9">
      <c r="C46" s="1"/>
      <c r="D46" s="2"/>
      <c r="E46" s="2"/>
      <c r="F46" s="3"/>
      <c r="G46" s="119"/>
    </row>
    <row r="47" spans="1:9">
      <c r="C47" s="1"/>
      <c r="D47" s="2"/>
      <c r="E47" s="2"/>
      <c r="F47" s="3"/>
      <c r="G47" s="119"/>
    </row>
    <row r="48" spans="1:9">
      <c r="C48" s="1"/>
      <c r="D48" s="2"/>
      <c r="E48" s="2"/>
      <c r="F48" s="3"/>
      <c r="G48" s="119"/>
    </row>
    <row r="49" spans="3:7">
      <c r="C49" s="1"/>
      <c r="D49" s="2"/>
      <c r="E49" s="2"/>
      <c r="F49" s="3"/>
      <c r="G49" s="119"/>
    </row>
    <row r="50" spans="3:7" ht="15">
      <c r="C50" s="133" t="s">
        <v>487</v>
      </c>
      <c r="D50" s="133"/>
      <c r="E50" s="133"/>
      <c r="F50" s="133"/>
      <c r="G50" s="133"/>
    </row>
    <row r="51" spans="3:7" ht="15" customHeight="1">
      <c r="C51" s="133" t="s">
        <v>488</v>
      </c>
      <c r="D51" s="133"/>
      <c r="E51" s="133"/>
      <c r="F51" s="133"/>
      <c r="G51" s="133"/>
    </row>
    <row r="52" spans="3:7" ht="15">
      <c r="C52" s="132" t="s">
        <v>489</v>
      </c>
      <c r="D52" s="132"/>
      <c r="E52" s="132"/>
      <c r="F52" s="132"/>
      <c r="G52" s="132"/>
    </row>
    <row r="53" spans="3:7">
      <c r="C53" s="1"/>
      <c r="D53" s="2"/>
      <c r="E53" s="2"/>
      <c r="F53" s="3"/>
      <c r="G53" s="119"/>
    </row>
    <row r="54" spans="3:7">
      <c r="C54" s="1"/>
      <c r="D54" s="2"/>
      <c r="E54" s="2"/>
      <c r="F54" s="3"/>
      <c r="G54" s="119"/>
    </row>
    <row r="55" spans="3:7">
      <c r="C55" s="1"/>
      <c r="D55" s="2"/>
      <c r="E55" s="2"/>
      <c r="F55" s="3"/>
      <c r="G55" s="119"/>
    </row>
    <row r="56" spans="3:7">
      <c r="C56" s="1"/>
      <c r="D56" s="2"/>
      <c r="E56" s="2"/>
      <c r="F56" s="3"/>
      <c r="G56" s="119"/>
    </row>
    <row r="57" spans="3:7" ht="15">
      <c r="C57" s="133" t="s">
        <v>490</v>
      </c>
      <c r="D57" s="133"/>
      <c r="E57" s="133"/>
      <c r="F57" s="133"/>
      <c r="G57" s="133"/>
    </row>
    <row r="58" spans="3:7" ht="15">
      <c r="C58" s="133" t="s">
        <v>491</v>
      </c>
      <c r="D58" s="133"/>
      <c r="E58" s="133"/>
      <c r="F58" s="133"/>
      <c r="G58" s="133"/>
    </row>
    <row r="59" spans="3:7" ht="15">
      <c r="C59" s="132" t="s">
        <v>489</v>
      </c>
      <c r="D59" s="132"/>
      <c r="E59" s="132"/>
      <c r="F59" s="132"/>
      <c r="G59" s="132"/>
    </row>
  </sheetData>
  <sheetProtection selectLockedCells="1" selectUnlockedCells="1"/>
  <mergeCells count="15">
    <mergeCell ref="A10:G10"/>
    <mergeCell ref="A15:G15"/>
    <mergeCell ref="A20:G20"/>
    <mergeCell ref="A25:G25"/>
    <mergeCell ref="A31:G31"/>
    <mergeCell ref="C40:G40"/>
    <mergeCell ref="C57:G57"/>
    <mergeCell ref="C58:G58"/>
    <mergeCell ref="C59:G59"/>
    <mergeCell ref="C43:G43"/>
    <mergeCell ref="C44:G44"/>
    <mergeCell ref="C45:G45"/>
    <mergeCell ref="C50:G50"/>
    <mergeCell ref="C51:G51"/>
    <mergeCell ref="C52:G52"/>
  </mergeCells>
  <printOptions horizontalCentered="1"/>
  <pageMargins left="0.51180555555555551" right="0.51180555555555551" top="0.78749999999999998" bottom="0.78749999999999998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workbookViewId="0">
      <selection activeCell="A58" sqref="A58"/>
    </sheetView>
  </sheetViews>
  <sheetFormatPr defaultRowHeight="14.25"/>
  <cols>
    <col min="4" max="4" width="24.625" customWidth="1"/>
    <col min="5" max="5" width="11.125" customWidth="1"/>
    <col min="6" max="6" width="12" customWidth="1"/>
    <col min="9" max="9" width="10" customWidth="1"/>
  </cols>
  <sheetData>
    <row r="1" spans="1:11">
      <c r="A1" s="120"/>
      <c r="B1" s="121"/>
      <c r="C1" s="121"/>
      <c r="D1" s="121"/>
      <c r="E1" s="121"/>
      <c r="F1" s="121"/>
    </row>
    <row r="2" spans="1:11" ht="25.5" customHeight="1">
      <c r="A2" s="122"/>
      <c r="B2" s="174" t="s">
        <v>583</v>
      </c>
      <c r="C2" s="174"/>
      <c r="D2" s="174"/>
      <c r="E2" s="174"/>
      <c r="F2" s="174"/>
      <c r="G2" s="123"/>
    </row>
    <row r="3" spans="1:11">
      <c r="B3" s="124"/>
      <c r="C3" s="124"/>
      <c r="D3" s="124"/>
      <c r="E3" s="125"/>
      <c r="F3" s="124"/>
    </row>
    <row r="4" spans="1:11" ht="27.75" customHeight="1">
      <c r="A4" s="122"/>
      <c r="B4" s="175" t="s">
        <v>8</v>
      </c>
      <c r="C4" s="175"/>
      <c r="D4" s="175"/>
      <c r="E4" s="126" t="s">
        <v>121</v>
      </c>
      <c r="F4" s="126" t="s">
        <v>584</v>
      </c>
      <c r="G4" s="127"/>
      <c r="H4" s="120"/>
    </row>
    <row r="5" spans="1:11" ht="20.25" customHeight="1">
      <c r="B5" s="173" t="s">
        <v>585</v>
      </c>
      <c r="C5" s="173"/>
      <c r="D5" s="173"/>
      <c r="E5" s="128" t="s">
        <v>563</v>
      </c>
      <c r="F5" s="128">
        <f>('Orçamento '!F77+'Orçamento '!F89+'Orçamento '!F94)/2</f>
        <v>390.71999999999997</v>
      </c>
      <c r="G5" s="129"/>
      <c r="I5" s="65">
        <f>('Orçamento '!I77+'Orçamento '!I89+'Orçamento '!I94)/'Orçamento '!I7</f>
        <v>3.9948399308533028E-2</v>
      </c>
      <c r="K5" s="130" t="s">
        <v>586</v>
      </c>
    </row>
    <row r="6" spans="1:11" ht="20.25" customHeight="1">
      <c r="B6" s="172" t="s">
        <v>587</v>
      </c>
      <c r="C6" s="172"/>
      <c r="D6" s="172"/>
      <c r="E6" s="128" t="s">
        <v>563</v>
      </c>
      <c r="F6" s="128">
        <f>('Orçamento '!F74+'Orçamento '!F75+'Orçamento '!F86+'Orçamento '!F87)/2</f>
        <v>4243.0950000000003</v>
      </c>
      <c r="G6" s="129"/>
      <c r="I6" s="65">
        <f>('Orçamento '!I74+'Orçamento '!I75+'Orçamento '!I86+'Orçamento '!I87)/'Orçamento '!I7</f>
        <v>8.3564413118068337E-2</v>
      </c>
      <c r="K6" s="130" t="s">
        <v>586</v>
      </c>
    </row>
    <row r="7" spans="1:11" ht="18.75" hidden="1" customHeight="1">
      <c r="B7" s="172" t="s">
        <v>588</v>
      </c>
      <c r="C7" s="172"/>
      <c r="D7" s="172"/>
      <c r="E7" s="128" t="s">
        <v>557</v>
      </c>
      <c r="F7" s="128">
        <f>'Orçamento '!F72/2</f>
        <v>9041.09</v>
      </c>
      <c r="G7" s="120"/>
      <c r="I7" s="65">
        <f>('Orçamento '!I72)/'Orçamento '!I7</f>
        <v>1.8880742473824694E-2</v>
      </c>
      <c r="K7" s="131" t="s">
        <v>589</v>
      </c>
    </row>
    <row r="8" spans="1:11" ht="18.75" hidden="1" customHeight="1">
      <c r="B8" s="172" t="s">
        <v>590</v>
      </c>
      <c r="C8" s="172"/>
      <c r="D8" s="172"/>
      <c r="E8" s="128" t="s">
        <v>183</v>
      </c>
      <c r="F8" s="128">
        <f>('Orçamento '!F73)/2</f>
        <v>2232.23</v>
      </c>
      <c r="I8" s="65">
        <f>('Orçamento '!I73)/'Orçamento '!I7</f>
        <v>1.0417757180105767E-2</v>
      </c>
      <c r="K8" s="131" t="s">
        <v>589</v>
      </c>
    </row>
    <row r="9" spans="1:11" ht="22.5" hidden="1" customHeight="1">
      <c r="B9" s="172" t="s">
        <v>591</v>
      </c>
      <c r="C9" s="172"/>
      <c r="D9" s="172"/>
      <c r="E9" s="128" t="s">
        <v>183</v>
      </c>
      <c r="F9" s="128">
        <f>('Orçamento '!F60)/2</f>
        <v>344.44499999999999</v>
      </c>
      <c r="I9" s="65">
        <f>'Orçamento '!I60/'Orçamento '!I7</f>
        <v>7.7423297926582611E-3</v>
      </c>
      <c r="K9" s="131" t="s">
        <v>589</v>
      </c>
    </row>
    <row r="10" spans="1:11" ht="22.5" customHeight="1">
      <c r="B10" s="173" t="s">
        <v>592</v>
      </c>
      <c r="C10" s="173"/>
      <c r="D10" s="173"/>
      <c r="E10" s="128" t="s">
        <v>183</v>
      </c>
      <c r="F10" s="128">
        <f>('Orçamento '!F64+'Orçamento '!F65)/2</f>
        <v>166</v>
      </c>
      <c r="I10" s="65">
        <f>('Orçamento '!I64+'Orçamento '!I65)/'Orçamento '!I7</f>
        <v>8.7194591915103606E-2</v>
      </c>
      <c r="K10" s="130" t="s">
        <v>586</v>
      </c>
    </row>
    <row r="11" spans="1:11" ht="18" customHeight="1">
      <c r="B11" s="172" t="s">
        <v>340</v>
      </c>
      <c r="C11" s="172"/>
      <c r="D11" s="172"/>
      <c r="E11" s="128" t="s">
        <v>557</v>
      </c>
      <c r="F11" s="128">
        <f>('Orçamento '!F139+10316.28571)/2</f>
        <v>10316.332855000001</v>
      </c>
      <c r="I11" s="65">
        <f>('Orçamento '!I139+'Orçamento '!I140)/'Orçamento '!I7</f>
        <v>8.0227757946494963E-2</v>
      </c>
      <c r="K11" s="130" t="s">
        <v>586</v>
      </c>
    </row>
    <row r="12" spans="1:11" ht="18" customHeight="1">
      <c r="B12" s="173" t="s">
        <v>593</v>
      </c>
      <c r="C12" s="173"/>
      <c r="D12" s="173"/>
      <c r="E12" s="128" t="s">
        <v>183</v>
      </c>
      <c r="F12" s="128">
        <f>('Orçamento '!F141)/2</f>
        <v>1085.18</v>
      </c>
      <c r="I12" s="65">
        <f>'Orçamento '!I141/'Orçamento '!I7</f>
        <v>2.0918678049212804E-2</v>
      </c>
      <c r="K12" s="131"/>
    </row>
    <row r="13" spans="1:11" ht="19.5" customHeight="1">
      <c r="B13" s="172" t="s">
        <v>594</v>
      </c>
      <c r="C13" s="172"/>
      <c r="D13" s="172"/>
      <c r="E13" s="128" t="s">
        <v>595</v>
      </c>
      <c r="F13" s="128">
        <f>'Orçamento '!F167/2</f>
        <v>50598.06</v>
      </c>
      <c r="I13" s="65" t="e">
        <f>('Orçamento '!I167+'Orçamento '!#REF!)/'Orçamento '!I7</f>
        <v>#REF!</v>
      </c>
      <c r="K13" s="130" t="s">
        <v>586</v>
      </c>
    </row>
    <row r="14" spans="1:11" ht="19.5" hidden="1" customHeight="1">
      <c r="B14" s="173" t="s">
        <v>596</v>
      </c>
      <c r="C14" s="173"/>
      <c r="D14" s="173"/>
      <c r="E14" s="128" t="s">
        <v>563</v>
      </c>
      <c r="F14" s="128">
        <f>('Orçamento '!F105+121.14+'Orçamento '!F158+'Orçamento '!F163)/2</f>
        <v>141.935</v>
      </c>
      <c r="I14" s="65">
        <f>('Orçamento '!I158+'Orçamento '!I163)/'Orçamento '!I7</f>
        <v>3.3012849546665505E-3</v>
      </c>
      <c r="K14" s="131" t="s">
        <v>589</v>
      </c>
    </row>
    <row r="15" spans="1:11" ht="21" hidden="1" customHeight="1">
      <c r="B15" s="172" t="s">
        <v>241</v>
      </c>
      <c r="C15" s="172"/>
      <c r="D15" s="172"/>
      <c r="E15" s="128" t="s">
        <v>563</v>
      </c>
      <c r="F15" s="128">
        <f>'Orçamento '!F97/2</f>
        <v>294.25</v>
      </c>
      <c r="I15" s="65">
        <f>'Orçamento '!I97/'Orçamento '!I7</f>
        <v>1.9864026367499645E-2</v>
      </c>
      <c r="K15" s="131" t="s">
        <v>589</v>
      </c>
    </row>
    <row r="16" spans="1:11" ht="18" customHeight="1"/>
  </sheetData>
  <sheetProtection selectLockedCells="1" selectUnlockedCells="1"/>
  <mergeCells count="13">
    <mergeCell ref="B2:F2"/>
    <mergeCell ref="B4:D4"/>
    <mergeCell ref="B5:D5"/>
    <mergeCell ref="B6:D6"/>
    <mergeCell ref="B7:D7"/>
    <mergeCell ref="B8:D8"/>
    <mergeCell ref="B15:D15"/>
    <mergeCell ref="B9:D9"/>
    <mergeCell ref="B10:D10"/>
    <mergeCell ref="B11:D11"/>
    <mergeCell ref="B12:D12"/>
    <mergeCell ref="B13:D13"/>
    <mergeCell ref="B14:D14"/>
  </mergeCells>
  <printOptions horizontalCentered="1"/>
  <pageMargins left="0.51180555555555551" right="0.51180555555555551" top="0.78749999999999998" bottom="0.78749999999999998" header="0.51180555555555551" footer="0.51180555555555551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3026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</vt:i4>
      </vt:variant>
    </vt:vector>
  </HeadingPairs>
  <TitlesOfParts>
    <vt:vector size="19" baseType="lpstr">
      <vt:lpstr>Orçamento </vt:lpstr>
      <vt:lpstr>Cronograma FF </vt:lpstr>
      <vt:lpstr>Cronograma FF  (2)</vt:lpstr>
      <vt:lpstr>BDI</vt:lpstr>
      <vt:lpstr>Composições</vt:lpstr>
      <vt:lpstr>Qualificação</vt:lpstr>
      <vt:lpstr>BDI!Area_de_impressao</vt:lpstr>
      <vt:lpstr>'Cronograma FF '!Area_de_impressao</vt:lpstr>
      <vt:lpstr>'Cronograma FF  (2)'!Area_de_impressao</vt:lpstr>
      <vt:lpstr>'Orçamento '!Area_de_impressao</vt:lpstr>
      <vt:lpstr>Qualificação!Area_de_impressao</vt:lpstr>
      <vt:lpstr>BDI!Excel_BuiltIn_Print_Area</vt:lpstr>
      <vt:lpstr>'Cronograma FF '!Excel_BuiltIn_Print_Area</vt:lpstr>
      <vt:lpstr>'Cronograma FF  (2)'!Excel_BuiltIn_Print_Area</vt:lpstr>
      <vt:lpstr>'Orçamento '!Excel_BuiltIn_Print_Area</vt:lpstr>
      <vt:lpstr>Qualificação!Excel_BuiltIn_Print_Area</vt:lpstr>
      <vt:lpstr>'Orçamento '!Excel_BuiltIn_Print_Titles</vt:lpstr>
      <vt:lpstr>'Orçamento '!ORÇAMENTO_BancoRef</vt:lpstr>
      <vt:lpstr>'Orçamento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Elias de Almeida</dc:creator>
  <cp:lastModifiedBy>Adriana Stocco</cp:lastModifiedBy>
  <cp:revision>597</cp:revision>
  <cp:lastPrinted>2023-09-13T12:47:40Z</cp:lastPrinted>
  <dcterms:created xsi:type="dcterms:W3CDTF">2019-05-06T10:56:04Z</dcterms:created>
  <dcterms:modified xsi:type="dcterms:W3CDTF">2023-09-13T12:47:55Z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