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tabRatio="500" activeTab="3"/>
  </bookViews>
  <sheets>
    <sheet name="ORÇAMENTO" sheetId="1" r:id="rId1"/>
    <sheet name="CRONOGRAMA FF " sheetId="2" r:id="rId2"/>
    <sheet name="COMPOSIÇÃO" sheetId="3" r:id="rId3"/>
    <sheet name="BDI" sheetId="4" r:id="rId4"/>
    <sheet name="Qualificação" sheetId="5" state="hidden" r:id="rId5"/>
    <sheet name="CRONOGRAMA ESTADO" sheetId="6" state="hidden" r:id="rId6"/>
  </sheets>
  <externalReferences>
    <externalReference r:id="rId9"/>
    <externalReference r:id="rId10"/>
  </externalReferences>
  <definedNames>
    <definedName name="_xlnm.Print_Area" localSheetId="3">'BDI'!$A$1:$G$40</definedName>
    <definedName name="_xlnm.Print_Area" localSheetId="5">'CRONOGRAMA ESTADO'!$A$1:$K$52</definedName>
    <definedName name="_xlnm.Print_Area" localSheetId="1">'CRONOGRAMA FF '!$A$1:$K$54</definedName>
    <definedName name="_xlnm.Print_Area" localSheetId="0">'ORÇAMENTO'!$A$1:$K$134</definedName>
    <definedName name="_xlnm.Print_Area" localSheetId="4">'Qualificação'!$A$1:$G$6</definedName>
    <definedName name="DESONERACAO" hidden="1">IF(OR(Import.Desoneracao="DESONERADO",Import.Desoneracao="SIM"),"SIM","NÃO")</definedName>
    <definedName name="Excel_BuiltIn_Print_Area" localSheetId="0">'ORÇAMENTO'!$A$1:$K$58</definedName>
    <definedName name="Import.Desoneracao" hidden="1">OFFSET('[1]DADOS'!$G$18,0,-1)</definedName>
    <definedName name="NCOMPOSICOES">15</definedName>
    <definedName name="NCOTACOES">15</definedName>
    <definedName name="ORÇAMENTO.BancoRef" localSheetId="0" hidden="1">'ORÇAMENTO'!$F$8</definedName>
    <definedName name="ORÇAMENTO.BancoRef" hidden="1">#REF!</definedName>
    <definedName name="REFERENCIA.Descricao" localSheetId="0" hidden="1">IF(ISNUMBER('ORÇAMENTO'!$AB1),OFFSET(INDIRECT('ORÇAMENTO'!ORÇAMENTO.BancoRef),'ORÇAMENTO'!$AB1-1,3,1),'ORÇAMENTO'!$AB1)</definedName>
    <definedName name="REFERENCIA.Descricao" hidden="1">IF(ISNUMBER(#REF!),OFFSET(INDIRECT(ORÇAMENTO.BancoRef),#REF!-1,3,1),#REF!)</definedName>
    <definedName name="REFERENCIA.Desonerado" localSheetId="0" hidden="1">IF(ISNUMBER('ORÇAMENTO'!$AB1),VALUE(OFFSET(INDIRECT('ORÇAMENTO'!ORÇAMENTO.BancoRef),'ORÇAMENTO'!$AB1-1,5,1)),0)</definedName>
    <definedName name="REFERENCIA.Desonerado" hidden="1">IF(ISNUMBER(#REF!),VALUE(OFFSET(INDIRECT(ORÇAMENTO.BancoRef),#REF!-1,5,1)),0)</definedName>
    <definedName name="REFERENCIA.NaoDesonerado" localSheetId="0" hidden="1">IF(ISNUMBER('ORÇAMENTO'!$AB1),VALUE(OFFSET(INDIRECT('ORÇAMENTO'!ORÇAMENTO.BancoRef),'ORÇAMENTO'!$AB1-1,6,1)),0)</definedName>
    <definedName name="REFERENCIA.NaoDesonerado" hidden="1">IF(ISNUMBER(#REF!),VALUE(OFFSET(INDIRECT(ORÇAMENTO.BancoRef),#REF!-1,6,1)),0)</definedName>
    <definedName name="REFERENCIA.Unidade" localSheetId="0" hidden="1">IF(ISNUMBER('ORÇAMENTO'!$AB1),OFFSET(INDIRECT('ORÇAMENTO'!ORÇAMENTO.BancoRef),'ORÇAMENTO'!$AB1-1,4,1),"-")</definedName>
    <definedName name="REFERENCIA.Unidade" hidden="1">IF(ISNUMBER(#REF!),OFFSET(INDIRECT(ORÇAMENTO.BancoRef),#REF!-1,4,1),"-")</definedName>
    <definedName name="TIPOORCAMENTO" hidden="1">IF(VALUE('[2]MENU'!$O$3)=2,"Licitado","Proposto")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<sst xmlns="http://schemas.openxmlformats.org/spreadsheetml/2006/main" count="808" uniqueCount="530">
  <si>
    <t>PREFEITURA MUNICIPAL DE ITATIBA</t>
  </si>
  <si>
    <t>PLANILHA QUANTITATIVA / ORÇAMENTÁRIA</t>
  </si>
  <si>
    <t>BASE DE PREÇOS E 
TIPO DE OBRA</t>
  </si>
  <si>
    <t>ITEM</t>
  </si>
  <si>
    <t>FONTE</t>
  </si>
  <si>
    <t>CÓDIGO</t>
  </si>
  <si>
    <t>DESCRIÇÃO</t>
  </si>
  <si>
    <t>UNID.</t>
  </si>
  <si>
    <t>QUANT.</t>
  </si>
  <si>
    <t>VALOR UNIT. SEM BDI</t>
  </si>
  <si>
    <t>VALOR UNITÁRIO COM BDI</t>
  </si>
  <si>
    <t>TOTAL</t>
  </si>
  <si>
    <t>1.1</t>
  </si>
  <si>
    <t>1.2</t>
  </si>
  <si>
    <t>1.3</t>
  </si>
  <si>
    <t>Paisagismo e Pergolado</t>
  </si>
  <si>
    <t>Item</t>
  </si>
  <si>
    <t>1.4</t>
  </si>
  <si>
    <t>MEMÓRIA DE CÁLCULO</t>
  </si>
  <si>
    <t>CRONOGRAMA FÍSICO / FINANCEIRO</t>
  </si>
  <si>
    <t>DISCRIMINAÇÃO</t>
  </si>
  <si>
    <t>TOTAL DO ITEM</t>
  </si>
  <si>
    <t>( % / R$ )</t>
  </si>
  <si>
    <t>TOTAL GERAL:</t>
  </si>
  <si>
    <t>DESEMBOLSO TOTAL DO MÊS (R$):</t>
  </si>
  <si>
    <t>MENSAL</t>
  </si>
  <si>
    <t>ACUM.</t>
  </si>
  <si>
    <t>PERCENTUAL: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</si>
  <si>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</si>
  <si>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</si>
  <si>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</si>
  <si>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</si>
  <si>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</si>
  <si>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</si>
  <si>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</si>
  <si>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</si>
  <si>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</si>
  <si>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</si>
  <si>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</si>
  <si>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</si>
  <si>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</si>
  <si>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Despesas Financeiras</t>
  </si>
  <si>
    <t>DF</t>
  </si>
  <si>
    <t>1.5</t>
  </si>
  <si>
    <t>Lucro</t>
  </si>
  <si>
    <t>L</t>
  </si>
  <si>
    <t>1.6</t>
  </si>
  <si>
    <t>Tributos (Impostos COFINS 3% e PIS 0,65%)</t>
  </si>
  <si>
    <t>CP</t>
  </si>
  <si>
    <t>1.7</t>
  </si>
  <si>
    <t>Tributos (ISS)</t>
  </si>
  <si>
    <t>ISS</t>
  </si>
  <si>
    <t>1.8</t>
  </si>
  <si>
    <t>Tributos (Contribuição Previdenciária de Receita Bruta)</t>
  </si>
  <si>
    <t>CPRB</t>
  </si>
  <si>
    <t>1.9</t>
  </si>
  <si>
    <t>BDI CALCULADO</t>
  </si>
  <si>
    <t>BDI CALCULADO CONFORME ACÓRDÃO Nº 2369/2011 – TCU</t>
  </si>
  <si>
    <t>BDI</t>
  </si>
  <si>
    <t>1</t>
  </si>
  <si>
    <t>2</t>
  </si>
  <si>
    <t>2.1</t>
  </si>
  <si>
    <t>2.2</t>
  </si>
  <si>
    <t xml:space="preserve">                      Engª. Civil - CREA/SP 0601758059</t>
  </si>
  <si>
    <t xml:space="preserve">              Secretaria Adjunta de Obras e Serviços Públicos</t>
  </si>
  <si>
    <r>
      <t xml:space="preserve">          </t>
    </r>
    <r>
      <rPr>
        <sz val="11"/>
        <color indexed="8"/>
        <rFont val="Arial Narrow"/>
        <family val="2"/>
      </rPr>
      <t>MARLI DE FÁTIMA PETRONILIO ANTENOR</t>
    </r>
  </si>
  <si>
    <t>3</t>
  </si>
  <si>
    <t>3.1</t>
  </si>
  <si>
    <t>3.2</t>
  </si>
  <si>
    <t>3.4</t>
  </si>
  <si>
    <t>CHECAGEM</t>
  </si>
  <si>
    <t>4</t>
  </si>
  <si>
    <t>4.1</t>
  </si>
  <si>
    <t>4.2</t>
  </si>
  <si>
    <t>4.3</t>
  </si>
  <si>
    <t>NÃO DESONERADO - CONSTRUÇÃO E REFORMA</t>
  </si>
  <si>
    <t>Piso</t>
  </si>
  <si>
    <t>5</t>
  </si>
  <si>
    <t>5.1</t>
  </si>
  <si>
    <t>5.2</t>
  </si>
  <si>
    <t>5.3</t>
  </si>
  <si>
    <t>6</t>
  </si>
  <si>
    <t>6.1</t>
  </si>
  <si>
    <t>6.2</t>
  </si>
  <si>
    <t>7</t>
  </si>
  <si>
    <t>7.1</t>
  </si>
  <si>
    <t>7.2</t>
  </si>
  <si>
    <t>7.3</t>
  </si>
  <si>
    <t>Revestimentos</t>
  </si>
  <si>
    <t>Esquadrias</t>
  </si>
  <si>
    <t>Hidráulica</t>
  </si>
  <si>
    <t>Pintura</t>
  </si>
  <si>
    <t>Serviços Complementares</t>
  </si>
  <si>
    <t>PMSP EDIF</t>
  </si>
  <si>
    <t>173002</t>
  </si>
  <si>
    <t>PLACA DE OBRA EM CHAPA DE AÇO GALVANIZADO</t>
  </si>
  <si>
    <t>M2</t>
  </si>
  <si>
    <t>SINAPI</t>
  </si>
  <si>
    <t>CDHU</t>
  </si>
  <si>
    <t>02.02.150</t>
  </si>
  <si>
    <t>Locação de container tipo depósito - área mínima de 13,80 m²</t>
  </si>
  <si>
    <t>UNMES</t>
  </si>
  <si>
    <t>SINAPI-I</t>
  </si>
  <si>
    <t>02.01.180</t>
  </si>
  <si>
    <t>Banheiro químico modelo Standard, com manutenção conforme exigências da CETESB</t>
  </si>
  <si>
    <t>M</t>
  </si>
  <si>
    <t>M3</t>
  </si>
  <si>
    <t>33.11.050</t>
  </si>
  <si>
    <t>Esmalte à base água em superfície metálica, inclusive preparo</t>
  </si>
  <si>
    <t>CJ</t>
  </si>
  <si>
    <t>UN</t>
  </si>
  <si>
    <t>101305</t>
  </si>
  <si>
    <t>BACIA SANITÁRIA ALTEADA PARA PORTADORES DE DEFICIÊNCIA FÍSICA</t>
  </si>
  <si>
    <t>100849</t>
  </si>
  <si>
    <t>ASSENTO SANITÁRIO CONVENCIONAL - FORNECIMENTO E INSTALACAO. AF_01/2020</t>
  </si>
  <si>
    <t>44.03.050</t>
  </si>
  <si>
    <t>Dispenser papel higiênico em ABS para rolão 300 / 600 m, com visor</t>
  </si>
  <si>
    <t>44.03.300</t>
  </si>
  <si>
    <t>86872</t>
  </si>
  <si>
    <t>TANQUE DE LOUÇA BRANCA COM COLUNA, 30L OU EQUIVALENTE - FORNECIMENTO E INSTALAÇÃO. AF_01/2020</t>
  </si>
  <si>
    <t>86914</t>
  </si>
  <si>
    <t>TORNEIRA CROMADA 1/2 OU 3/4 PARA TANQUE, PADRÃO MÉDIO - FORNECIMENTO E INSTALAÇÃO. AF_01/2020</t>
  </si>
  <si>
    <t>1º</t>
  </si>
  <si>
    <t>2º</t>
  </si>
  <si>
    <t>3º</t>
  </si>
  <si>
    <t>4º</t>
  </si>
  <si>
    <t>MÊS</t>
  </si>
  <si>
    <t>Conforme projeto = 6 unid</t>
  </si>
  <si>
    <t>Conforme projeto = 02 unid</t>
  </si>
  <si>
    <t>QTD</t>
  </si>
  <si>
    <t>UNID</t>
  </si>
  <si>
    <t xml:space="preserve">SUGESTÃO DE ITENS PARA QUALIFICAÇÃO TÉCNICA </t>
  </si>
  <si>
    <t>CRONOGRAMA FÍSICO - DESEMBOLSO E APLICAÇÃO DOS RECURSOS</t>
  </si>
  <si>
    <t>GOVERNO DO ESTADO DE SÃO PAULO</t>
  </si>
  <si>
    <t>MUNICÍPIO</t>
  </si>
  <si>
    <t>ITATIBA</t>
  </si>
  <si>
    <t>OBRA:</t>
  </si>
  <si>
    <t>PRAZO PROPOSTO</t>
  </si>
  <si>
    <t xml:space="preserve">DATA BASE: </t>
  </si>
  <si>
    <t>INÍCIO: 30 dias da data da assinatura do convênio</t>
  </si>
  <si>
    <t>FINAL: 720 dias a partir da data da assinatura do convênio</t>
  </si>
  <si>
    <t>SERVIÇOS</t>
  </si>
  <si>
    <t>UNIDADE</t>
  </si>
  <si>
    <t>1a. ETAPA</t>
  </si>
  <si>
    <t>2a. ETAPA</t>
  </si>
  <si>
    <t>3a. ETAPA</t>
  </si>
  <si>
    <t>PERÍODO: 240 dias</t>
  </si>
  <si>
    <t xml:space="preserve"> </t>
  </si>
  <si>
    <t>PRAZO DE LIBERAÇÃO:                       em até 30 dias após à expedição da ordem de serviço</t>
  </si>
  <si>
    <t>PRAZO DE EXECUÇÃO:                210 dias</t>
  </si>
  <si>
    <t>PRAZO DE LIBERAÇÃO:                       em até 30 dias após a conclusão da etapa anterior.</t>
  </si>
  <si>
    <t>m2</t>
  </si>
  <si>
    <t>R$</t>
  </si>
  <si>
    <t>RECURSOS ESTADUAIS</t>
  </si>
  <si>
    <t>RECURSOS PRÓPRIOS</t>
  </si>
  <si>
    <t xml:space="preserve">T O T A L </t>
  </si>
  <si>
    <t>ASSINATURA: ______________________________________________</t>
  </si>
  <si>
    <t>BAIRRO JARDIM DE LUCCA</t>
  </si>
  <si>
    <t>5º</t>
  </si>
  <si>
    <t>6º</t>
  </si>
  <si>
    <t>7º</t>
  </si>
  <si>
    <t>8º</t>
  </si>
  <si>
    <t>SECRETARIA DE GOVERNO E RELAÇÕES E INSTITUCIONAIS</t>
  </si>
  <si>
    <t>OBRA: REFORMA DO SUS</t>
  </si>
  <si>
    <t>04.04.020</t>
  </si>
  <si>
    <t>Retirada de revestimento em pedra, granito ou mármore, em piso</t>
  </si>
  <si>
    <t>97634</t>
  </si>
  <si>
    <t>DEMOLIÇÃO DE REVESTIMENTO CERÂMICO, DE FORMA MECANIZADA COM MARTELETE, SEM REAPROVEITAMENTO. AF_12/2017</t>
  </si>
  <si>
    <t>03.01.230</t>
  </si>
  <si>
    <t>Demolição mecanizada de concreto simples, inclusive fragmentação e acomodação do material</t>
  </si>
  <si>
    <t>04.06.020</t>
  </si>
  <si>
    <t>Retirada de piso em material sintético assentado a cola</t>
  </si>
  <si>
    <t>17.01.020</t>
  </si>
  <si>
    <t>Argamassa de regularização e/ou proteção</t>
  </si>
  <si>
    <t>32.16.050</t>
  </si>
  <si>
    <t>Impermeabilização em membrana à base de polímeros acrílicos, na cor branca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</si>
  <si>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</si>
  <si>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</si>
  <si>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</si>
  <si>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</si>
  <si>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19.01.062</t>
  </si>
  <si>
    <t>Peitoril e/ou soleira em granito, espessura de 2 cm e largura até 20 cm, acabamento polido</t>
  </si>
  <si>
    <t>POLIMENTO DE PISO DE MÁRMORE</t>
  </si>
  <si>
    <t>05.07.050</t>
  </si>
  <si>
    <t>Remoção de entulho de obra com caçamba metálica - material volumoso e misturado por alvenaria, terra, madeira, papel, plástico e metal</t>
  </si>
  <si>
    <t>8.2</t>
  </si>
  <si>
    <t>8.1</t>
  </si>
  <si>
    <t>3.3</t>
  </si>
  <si>
    <t>3.5</t>
  </si>
  <si>
    <t>97633</t>
  </si>
  <si>
    <t>DEMOLIÇÃO DE REVESTIMENTO CERÂMICO, DE FORMA MANUAL, SEM REAPROVEITAMENTO. AF_12/2017</t>
  </si>
  <si>
    <t>03.03.020</t>
  </si>
  <si>
    <t>Apicoamento manual de piso, parede ou teto</t>
  </si>
  <si>
    <t>Divisórias</t>
  </si>
  <si>
    <t>03.02.040</t>
  </si>
  <si>
    <t>Demolição manual de alvenaria de elevação ou elemento vazado, incluindo revestimento</t>
  </si>
  <si>
    <t>14.30.070</t>
  </si>
  <si>
    <t>Divisória sanitária em painel laminado melamínico estrutural com perfis em alumínio, inclusive ferragem completa para vão de porta</t>
  </si>
  <si>
    <t>Forro</t>
  </si>
  <si>
    <t>03.08.040</t>
  </si>
  <si>
    <t>Demolição manual de forro qualquer, inclusive sistema de fixação/tarugamento</t>
  </si>
  <si>
    <t>04.17.020</t>
  </si>
  <si>
    <t>Remoção de aparelho de iluminação ou projetor fixo em teto, piso ou parede</t>
  </si>
  <si>
    <t>22.02.030</t>
  </si>
  <si>
    <t>Forro em painéis de gesso acartonado, espessura de 12,5mm, fixo</t>
  </si>
  <si>
    <t>7.4</t>
  </si>
  <si>
    <t>7.5</t>
  </si>
  <si>
    <t>7.6</t>
  </si>
  <si>
    <t>7.7</t>
  </si>
  <si>
    <t>7.8</t>
  </si>
  <si>
    <t>7.9</t>
  </si>
  <si>
    <t>7.10</t>
  </si>
  <si>
    <t>8</t>
  </si>
  <si>
    <t>RETIRADA DE FOLHAS DE PORTA DE PASSAGEM OU JANELA</t>
  </si>
  <si>
    <t>RETIRADA DE BATENTES DE MADEIRA</t>
  </si>
  <si>
    <t>Composição</t>
  </si>
  <si>
    <t>001</t>
  </si>
  <si>
    <t>Revisão e reparo em esquadria metálica</t>
  </si>
  <si>
    <t>23.09.030</t>
  </si>
  <si>
    <t>Porta lisa com batente madeira - 70 x 210 cm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</si>
  <si>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</si>
  <si>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</si>
  <si>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</si>
  <si>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</si>
  <si>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</si>
  <si>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</si>
  <si>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23.08.242</t>
  </si>
  <si>
    <t>Porta lisa de correr suspensa em madeira com batente</t>
  </si>
  <si>
    <t>70148</t>
  </si>
  <si>
    <t>PM.48 - PORTA DE MADEIRA LISA COMUM/ ENCABEÇADA, 2 FOLHAS - 184X210CM</t>
  </si>
  <si>
    <t>70145</t>
  </si>
  <si>
    <t>PM.45 - PORTA DE MADEIRA LISA COMUM/ ENCABEÇADA, 2 FOLHAS - 124X210CM</t>
  </si>
  <si>
    <t>9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</si>
  <si>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</si>
  <si>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</si>
  <si>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</si>
  <si>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</si>
  <si>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</si>
  <si>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</si>
  <si>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</si>
  <si>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</si>
  <si>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</si>
  <si>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</si>
  <si>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</si>
  <si>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</si>
  <si>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</si>
  <si>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</si>
  <si>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</si>
  <si>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04.11.020</t>
  </si>
  <si>
    <t>Retirada de aparelho sanitário incluindo acessórios</t>
  </si>
  <si>
    <t>95470</t>
  </si>
  <si>
    <t>VASO SANITARIO SIFONADO CONVENCIONAL COM LOUÇA BRANCA, INCLUSO CONJUNTO DE LIGAÇÃO PARA BACIA SANITÁRIA AJUSTÁVEL - FORNECIMENTO E INSTALAÇÃO. AF_10/2016</t>
  </si>
  <si>
    <t>30.01.010</t>
  </si>
  <si>
    <t>Barra de apoio reta, para pessoas com mobilidade reduzida, em tubo de aço inoxidável de 1 1/2´</t>
  </si>
  <si>
    <t>44.01.100</t>
  </si>
  <si>
    <t>Lavatório de louça sem coluna</t>
  </si>
  <si>
    <t>44.20.240</t>
  </si>
  <si>
    <t>Sifão plástico com copo, rígido, de 1´ x 1 1/2´</t>
  </si>
  <si>
    <t>44.03.645</t>
  </si>
  <si>
    <t>Torneira de mesa automática, acionamento hidromecânico, em latão cromado, DN= 1/2´ou 3/4´</t>
  </si>
  <si>
    <t>Torneira clínica com volante tipo alavanca</t>
  </si>
  <si>
    <t>44.20.130</t>
  </si>
  <si>
    <t>Tubo de ligação para mictório, DN= 1/2´</t>
  </si>
  <si>
    <t>44.01.200</t>
  </si>
  <si>
    <t>Mictório de louça sifonado auto aspirante</t>
  </si>
  <si>
    <t>44.03.130</t>
  </si>
  <si>
    <t>Saboneteira tipo dispenser, para refil de 800 ml</t>
  </si>
  <si>
    <t>44.03.180</t>
  </si>
  <si>
    <t>Dispenser toalheiro em ABS, para folhas</t>
  </si>
  <si>
    <t>Elétrica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</si>
  <si>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</si>
  <si>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</si>
  <si>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</si>
  <si>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</si>
  <si>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</si>
  <si>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</si>
  <si>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</si>
  <si>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</si>
  <si>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</si>
  <si>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</si>
  <si>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</si>
  <si>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</si>
  <si>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</si>
  <si>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10</t>
  </si>
  <si>
    <t>39.02.040</t>
  </si>
  <si>
    <t>Cabo de cobre de 10 mm², isolamento 750 V - isolação em PVC 70°C</t>
  </si>
  <si>
    <t>39.06.060</t>
  </si>
  <si>
    <t>Cabo de cobre de 25 mm², isolamento 8,7/15 kV - isolação EPR 90°C</t>
  </si>
  <si>
    <t>39.06.074</t>
  </si>
  <si>
    <t>Cabo de cobre de 50 mm², isolamento 8,7/15 kV - isolação EPR 90°C</t>
  </si>
  <si>
    <t>101882</t>
  </si>
  <si>
    <t>QUADRO DE DISTRIBUIÇÃO DE ENERGIA EM CHAPA DE AÇO GALVANIZADO, DE EMBUTIR, COM BARRAMENTO TRIFÁSICO, PARA 30 DISJUNTORES DIN 225A - FORNECIMENTO E INSTALAÇÃO. AF_10/2020</t>
  </si>
  <si>
    <t>37.13.660</t>
  </si>
  <si>
    <t>Disjuntor termomagnético, tripolar 220/380 V, corrente de 60 A até 100 A</t>
  </si>
  <si>
    <t>37.13.630</t>
  </si>
  <si>
    <t>Disjuntor termomagnético, bipolar 220/380 V, corrente de 10 A até 50 A</t>
  </si>
  <si>
    <t>DISPOSITIVO DE PROTEÇÃO CONTRA SURTOS 275V - 15KA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</si>
  <si>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</si>
  <si>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</si>
  <si>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</si>
  <si>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</si>
  <si>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38.19.040</t>
  </si>
  <si>
    <t>Eletroduto de PVC corrugado flexível leve, diâmetro externo de 32 mm</t>
  </si>
  <si>
    <t>38.13.020</t>
  </si>
  <si>
    <t>Eletroduto corrugado em polietileno de alta densidade, DN= 50 mm, com acessórios</t>
  </si>
  <si>
    <t>40.06.120</t>
  </si>
  <si>
    <t>Condulete metálico de 2´</t>
  </si>
  <si>
    <t>Informática</t>
  </si>
  <si>
    <t>10.1</t>
  </si>
  <si>
    <t>10.2</t>
  </si>
  <si>
    <t>10.3</t>
  </si>
  <si>
    <t>10.4</t>
  </si>
  <si>
    <t>10.5</t>
  </si>
  <si>
    <t>10.6</t>
  </si>
  <si>
    <t>11</t>
  </si>
  <si>
    <t>66.08.100</t>
  </si>
  <si>
    <t>Rack fechado padrão metálico, 19 x 12 Us x 470 mm</t>
  </si>
  <si>
    <t>69.20.200</t>
  </si>
  <si>
    <t>Bandeja fixa para rack, 19´ x 500 mm</t>
  </si>
  <si>
    <t>99021</t>
  </si>
  <si>
    <t>GUIA ORGANIZADORA DE CABOS 19" - 1V - INSTALADA</t>
  </si>
  <si>
    <t>99015</t>
  </si>
  <si>
    <t>PATCH PAINEL - 24 PORTAS - INSTALADO</t>
  </si>
  <si>
    <t>69.20.230</t>
  </si>
  <si>
    <t>Calha de aço com 8 tomadas 2P+T - 250 V, com cabo</t>
  </si>
  <si>
    <t>99017</t>
  </si>
  <si>
    <t>SWITCH - 24 PORTAS - INSTALADO</t>
  </si>
  <si>
    <t>99031</t>
  </si>
  <si>
    <t>PATCH CORD RJ45 - 1,5M</t>
  </si>
  <si>
    <t>98295</t>
  </si>
  <si>
    <t>CABO ELETRÔNICO CATEGORIA 5E, INSTALADO EM EDIFICAÇÃO INSTITUCIONAL - FORNECIMENTO E INSTALAÇÃO. AF_11/2019</t>
  </si>
  <si>
    <t>38.21.930</t>
  </si>
  <si>
    <t>Eletrocalha perfurada galvanizada a fogo, 150 x 50 mm, com acessórios</t>
  </si>
  <si>
    <t>38.01.040</t>
  </si>
  <si>
    <t>Eletroduto de PVC rígido roscável de 3/4´ - com acessórios</t>
  </si>
  <si>
    <t>40.06.510</t>
  </si>
  <si>
    <t>Condulete em PVC de 1´ - com tampa</t>
  </si>
  <si>
    <t>98307</t>
  </si>
  <si>
    <t>TOMADA DE REDE RJ45 - FORNECIMENTO E INSTALAÇÃO. AF_11/2019</t>
  </si>
  <si>
    <t>7543</t>
  </si>
  <si>
    <t>TAMPA CEGA EM PVC PARA CONDULETE 4 X 2"</t>
  </si>
  <si>
    <t xml:space="preserve">UN    </t>
  </si>
  <si>
    <t>11.1</t>
  </si>
  <si>
    <t>11.2</t>
  </si>
  <si>
    <t>11.3</t>
  </si>
  <si>
    <t>11.4</t>
  </si>
  <si>
    <t>11.5</t>
  </si>
  <si>
    <t>11.6</t>
  </si>
  <si>
    <t>118001</t>
  </si>
  <si>
    <t>REPAROS EM TRINCAS E RACHADURAS</t>
  </si>
  <si>
    <t>33.02.080</t>
  </si>
  <si>
    <t>Massa corrida à base de resina acrílica</t>
  </si>
  <si>
    <t>33.10.050</t>
  </si>
  <si>
    <t>Tinta acrílica em massa, inclusive preparo</t>
  </si>
  <si>
    <t>33.10.041</t>
  </si>
  <si>
    <t>Esmalte à base de água em massa, inclusive preparo</t>
  </si>
  <si>
    <t>33.12.011</t>
  </si>
  <si>
    <t>Esmalte à base de água em madeira, inclusive preparo</t>
  </si>
  <si>
    <t>REVISÃO, ESCOVAÇÃO, INCLUSIVE  TOMADA DE GOTEIRAS DE TELHADOS EM GERAL, EXCLUSIVE PARA TELHAS DE BARRO COZIDO OU VIDRO</t>
  </si>
  <si>
    <t>IC.04 - BANCO EM CONCRETO APARENTE - L=50CM</t>
  </si>
  <si>
    <t>Considerado 8 meses de obras</t>
  </si>
  <si>
    <t>Confrme projeto, retirada de piso de granito (45,36m² + 73,26m² + 7,69m²) = 126,31m²</t>
  </si>
  <si>
    <t>Conforme projeto, demolição de piso cerâmico (371,41m² +12,39m² + 8,84m²) = 392,64m²</t>
  </si>
  <si>
    <t>Conforme projeto, demolição do piso em granilite (40m² x 0,07m) = 2,8m³</t>
  </si>
  <si>
    <t>Conforme projeto, retirada de piso paviflex = 1.371,80m²</t>
  </si>
  <si>
    <t>Conforme projeto, para toda área de demolição e retirada de piso (1.371,80m² + 392,64m² + 126,31m² + 40,00m² x 3cm) = 57,92m³</t>
  </si>
  <si>
    <t>Conforme projeto, considerado para os banheiros = 103,84m²</t>
  </si>
  <si>
    <t>Conforme projeto = 1.914,22m²</t>
  </si>
  <si>
    <t>Conforme projeto = 1.430,57m</t>
  </si>
  <si>
    <t>Conforme projeto, 07 unid totalizando = 30,22m</t>
  </si>
  <si>
    <t>Conforme projeto = 12,42m²</t>
  </si>
  <si>
    <t>Conforme projeto, para toda área de demolição (1.456,78m² + 277,43m² + 40,00m² x 5cm x 30%) = 117,29m³</t>
  </si>
  <si>
    <t>Conforme projeto, remoção de todo revestimento existente dos sanitários = 284,43m²</t>
  </si>
  <si>
    <t>Conforme projeto, remoção de todo revestimento existente dos sanitários = 284,43m² x 5cm x 30%</t>
  </si>
  <si>
    <t>Conforme projeto, demolição de parede = 1,12m³</t>
  </si>
  <si>
    <t>Conforme projeto, para sanitários incluso portas = 92,26m²</t>
  </si>
  <si>
    <t>Conforme projeto = 343,98m²</t>
  </si>
  <si>
    <t>Conforme projeto = 641,50m²</t>
  </si>
  <si>
    <t>Conforme projeto, para demolição do forro (343,98m² x 10cm x 1,30%) = 44,72m³</t>
  </si>
  <si>
    <t>Conforme projeto, revisão e reparo em janelas = 170 unid</t>
  </si>
  <si>
    <t>Conforme projeto P6 = 0,90m x 2,10m = 1,89m²</t>
  </si>
  <si>
    <t>Conforme projeto P8 = 01 unid</t>
  </si>
  <si>
    <t>Conforme projeto P9 = 01 unid</t>
  </si>
  <si>
    <t>Conforme projeto = 38 unid</t>
  </si>
  <si>
    <t>Conforme projeto = 16 unid</t>
  </si>
  <si>
    <t>Conforme projeto = 03 unid</t>
  </si>
  <si>
    <t>Conforme projeto = 22 unid</t>
  </si>
  <si>
    <t>Conforme projeto = 12 unid</t>
  </si>
  <si>
    <t>Conforme projeto = 15 unid</t>
  </si>
  <si>
    <t>Conforme projeto = 10 unid</t>
  </si>
  <si>
    <t>Considerado 2 caçambas de 6m³ = 12m³</t>
  </si>
  <si>
    <t>Conforme levantamento = 310,00m x 3</t>
  </si>
  <si>
    <t>Conforme levantamento = 90,00m</t>
  </si>
  <si>
    <t>Conforme levantamento = 90,00m x 3</t>
  </si>
  <si>
    <t>Conforme levantamento = 01 unid</t>
  </si>
  <si>
    <t>Conforme levantamento = 02 unid</t>
  </si>
  <si>
    <t>Conforme levantamento = 06 unid</t>
  </si>
  <si>
    <t>Conforme levantamento = 03 unid</t>
  </si>
  <si>
    <t>Conforme levantamento = 6,00m</t>
  </si>
  <si>
    <t>Conforme levantamento = 3,00m</t>
  </si>
  <si>
    <t>Conforme levantamento = 70,00m</t>
  </si>
  <si>
    <t>Conforme levantamento = 22,00m</t>
  </si>
  <si>
    <t>Conforme levantamento = 10 unid</t>
  </si>
  <si>
    <t>Conforme levatamento = 03 unid</t>
  </si>
  <si>
    <t>Conforme levatamento = 06 unid</t>
  </si>
  <si>
    <t>Conforme levatamento = 04 unid</t>
  </si>
  <si>
    <t>Conforme levatamento = 170 unid</t>
  </si>
  <si>
    <t>Conforme levatamento = 3.965,00m</t>
  </si>
  <si>
    <t>Conforme levatamento = 180,00m</t>
  </si>
  <si>
    <t>Conforme levatamento = 270,00m</t>
  </si>
  <si>
    <t>Conforme levatamento = 100,00 unid</t>
  </si>
  <si>
    <t>Conforme levatamento = 250,00 unid</t>
  </si>
  <si>
    <t>Conforme levatamento = 150,00 unid</t>
  </si>
  <si>
    <t>Estimado em 2% do total da pintura para reparos em geral = 88,86m</t>
  </si>
  <si>
    <t>Estimado em 15% do total da pintura para reparos em geral = 666,43m²</t>
  </si>
  <si>
    <t>Conforme projeto (1.424,73m² + 2.186,63m²) = 3.611,36m²</t>
  </si>
  <si>
    <t>Conforme projeto, interno = 4.442,88m²</t>
  </si>
  <si>
    <t>Conforme projeto = 849,43m²</t>
  </si>
  <si>
    <t>Conforme projeto = 555,41m²</t>
  </si>
  <si>
    <t>Conforme projeto = (499,48m²+499,48m²+185,62m²+185,62m²+391,71m²+391,71m²+63,35m²+108,05m²+108,05m²+66,02m²+66,02m²) = 2.565,11m²</t>
  </si>
  <si>
    <t>Conforme projeto = 61,53m</t>
  </si>
  <si>
    <t>41.31.040</t>
  </si>
  <si>
    <t>Luminária LED retangular de sobrepor com difusor translúcido, 4000 K, fluxo luminoso de 3690 a 4800 lm, potência de 35 W a 41 W</t>
  </si>
  <si>
    <t>41.12.210</t>
  </si>
  <si>
    <t>Projetor LED modular, fluxo luminoso de 26294 lm, eficiência mínima de 125 l/W - 150 W/200 W</t>
  </si>
  <si>
    <t>41.10.410</t>
  </si>
  <si>
    <t>Poste telecônico em aço SAE 1010/1020 galvanizado a fogo, com espera para duas luminárias, altura de 3,00 m</t>
  </si>
  <si>
    <t>41.11.450</t>
  </si>
  <si>
    <t>Suporte tubular de fixação em poste para 2 luminárias tipo pétala</t>
  </si>
  <si>
    <t>41.11.116</t>
  </si>
  <si>
    <t>Luminária LED retangular para poste, fluxo luminoso de 5000 a 5500 lm - potência de 50W</t>
  </si>
  <si>
    <t>41.11.711</t>
  </si>
  <si>
    <t>Luminária LED retangular para parede ou piso, fluxo luminoso de 11838 a 12150 lm, eficiência mínima 107 lm/W - potência de 86 W/120 W</t>
  </si>
  <si>
    <t>Conforme projeto = 09 unid</t>
  </si>
  <si>
    <t>Conforme projeto = 18 unid</t>
  </si>
  <si>
    <t>Conforme projeto = 07 unid</t>
  </si>
  <si>
    <t>04.14.020</t>
  </si>
  <si>
    <t>26.01.230</t>
  </si>
  <si>
    <t>04.03.080</t>
  </si>
  <si>
    <t>16.33.052</t>
  </si>
  <si>
    <t>Retirada de vidro ou espelho com raspagem da massa ou retirada de baguete</t>
  </si>
  <si>
    <t>Vidro fantasia de 3/4 mm</t>
  </si>
  <si>
    <t>Retirada de cumeeira, espigão ou rufo perfil qualquer</t>
  </si>
  <si>
    <t>Calha, rufo, afins em chapa galvanizada nº 24 - corte 0,50 m</t>
  </si>
  <si>
    <t>REFORMA DO SUS</t>
  </si>
  <si>
    <t>Conforme projeto = 187,86m</t>
  </si>
  <si>
    <t>Conforme projeto = 234 unid</t>
  </si>
  <si>
    <t>Conforme projeto = 275 unid</t>
  </si>
  <si>
    <t>Estimado 25% da área total de esquadrias metálicas, para fins de substituição = 73,53m²</t>
  </si>
  <si>
    <t>m²</t>
  </si>
  <si>
    <t>COTAÇÃO/MERCADO</t>
  </si>
  <si>
    <t>-</t>
  </si>
  <si>
    <t>Revestimento de alumínio miniwave liso e estrutura auxiliar em alumínio para fixação em fachada</t>
  </si>
  <si>
    <t>Conforme projeto = 365,26m²</t>
  </si>
  <si>
    <t>Engª Marli de Fátima Petronílio Antenor</t>
  </si>
  <si>
    <t>CREA 060.175.805-9</t>
  </si>
  <si>
    <t>RESPONSÁVEL TÉCNICA</t>
  </si>
  <si>
    <t>Placa para identificação da obra sendo 3m de cumprimento por 2m de largura total de 6m²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</si>
  <si>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</si>
  <si>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</si>
  <si>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</si>
  <si>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</si>
  <si>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</si>
  <si>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</si>
  <si>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</si>
  <si>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</si>
  <si>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</si>
  <si>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</si>
  <si>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</si>
  <si>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</si>
  <si>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</si>
  <si>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</si>
  <si>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</si>
  <si>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</si>
  <si>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</si>
  <si>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</si>
  <si>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</si>
  <si>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</si>
  <si>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>7.15</t>
  </si>
  <si>
    <t>7.16</t>
  </si>
  <si>
    <t>7.17</t>
  </si>
  <si>
    <t>8.18</t>
  </si>
  <si>
    <t>8.19</t>
  </si>
  <si>
    <t>11.7</t>
  </si>
  <si>
    <t>6.11</t>
  </si>
  <si>
    <t>28.01.050</t>
  </si>
  <si>
    <t>Ferragem completa com maçaneta tipo alavanca, para porta interna com 2 folhas</t>
  </si>
  <si>
    <t>SERVIÇOS PRELIMINARES</t>
  </si>
  <si>
    <t>PISO</t>
  </si>
  <si>
    <t>REVESTIMENTO</t>
  </si>
  <si>
    <t>DIVISÓRIAS</t>
  </si>
  <si>
    <t>FORRO</t>
  </si>
  <si>
    <t>ESQUADRIAS</t>
  </si>
  <si>
    <t>HIDRÁULICA</t>
  </si>
  <si>
    <t>ELÉTRICA</t>
  </si>
  <si>
    <t>INFORMÁTICA</t>
  </si>
  <si>
    <t>PINTURA</t>
  </si>
  <si>
    <t>SERVIÇOS COMPLEMENTARES</t>
  </si>
  <si>
    <t>Conforme projeto P8/P9/P11 = 03 unid</t>
  </si>
  <si>
    <t>03.08.200</t>
  </si>
  <si>
    <t>Demolição manual de painéis divisórias, inclusive montantes metálicos</t>
  </si>
  <si>
    <t>4.4</t>
  </si>
  <si>
    <t>Conforme projeto = 88,55m²</t>
  </si>
  <si>
    <t>4.5</t>
  </si>
  <si>
    <t>14.30.300</t>
  </si>
  <si>
    <t>Divisória em placas de gesso acartonado, resistência ao fogo 30 minutos, espessura 100/70mm - 1ST / 1ST LM</t>
  </si>
  <si>
    <t>Conforme projeto = 108 unid</t>
  </si>
  <si>
    <t>11.8</t>
  </si>
  <si>
    <t>24.08.020</t>
  </si>
  <si>
    <t>Corrimão duplo em tubo de aço inoxidável escovado, com diâmetro de 1 1/2´ e montantes com diâmetro de 2´</t>
  </si>
  <si>
    <t>Conforme projeto = 11,97m</t>
  </si>
  <si>
    <t>Conforme projeto P10 = 02 unid</t>
  </si>
  <si>
    <t>Conforme projeto P4/P6 = 02unid</t>
  </si>
  <si>
    <t>Conforme projeto P1 = 92 unid</t>
  </si>
  <si>
    <t>Conforme projeto P2 =  07 unid</t>
  </si>
  <si>
    <t>Conforme projeto = 23,20m</t>
  </si>
  <si>
    <t>Conforme projeto, demolição de parede e divisória (1,12m³ + 88,55m² x 0,05m x 1,30) = 7,21m³</t>
  </si>
  <si>
    <t>Responsável Técnica:</t>
  </si>
  <si>
    <t>Secretária Adjunta de Obras e Serviços Públicos</t>
  </si>
  <si>
    <t xml:space="preserve">CIENTE:  </t>
  </si>
  <si>
    <t>Engº Sergio Guedes Gonçalves</t>
  </si>
  <si>
    <t>CREA 506.933.930-7</t>
  </si>
  <si>
    <t>6.3</t>
  </si>
  <si>
    <t>Revestimento e/ou piso em cerâmica ou porcelanato</t>
  </si>
  <si>
    <t>M²</t>
  </si>
  <si>
    <t>Pintura em tinta acrílica e/ou esmalte</t>
  </si>
  <si>
    <t>CDHU - BOLETIM 192
SINAPI – REF. 11/2023      PMSP JULHO 2023</t>
  </si>
  <si>
    <t>2.7 e 3.4</t>
  </si>
  <si>
    <t>10.3 a 10.6</t>
  </si>
  <si>
    <t>Prefeitura Municipal de Itatiba, 04 de janeiro de 2024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</si>
</sst>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* #,##0.00\ ;\-* #,##0.00\ ;* \-#\ ;@\ "/>
    <numFmt numFmtId="166" formatCode="000"/>
    <numFmt numFmtId="167" formatCode="* #,##0\ ;\-* #,##0\ ;* \-#\ ;@\ "/>
    <numFmt numFmtId="168" formatCode="&quot;R$ &quot;#,##0.00;[Red]&quot;-R$ &quot;#,##0.00"/>
    <numFmt numFmtId="169" formatCode="0.0000"/>
    <numFmt numFmtId="170" formatCode="_(* #,##0.00_);_(* \(#,##0.00\);_(* &quot;-&quot;??_);_(@_)"/>
    <numFmt numFmtId="171" formatCode="_(* #,##0.00_);_(* \(#,##0.00\);_(* \-??_);_(@_)"/>
    <numFmt numFmtId="172" formatCode="&quot;R$&quot;\ #,##0.00"/>
    <numFmt numFmtId="173" formatCode="#,##0.00;[Red]#,##0.00"/>
    <numFmt numFmtId="174" formatCode="00"/>
    <numFmt numFmtId="175" formatCode="_-* #,##0.00_-;\-* #,##0.00_-;_-* \-??_-;_-@_-"/>
    <numFmt numFmtId="176" formatCode="&quot;R$ &quot;#,##0.00;[Red]&quot;R$ &quot;#,##0.00"/>
    <numFmt numFmtId="177" formatCode="0.00000000"/>
    <numFmt numFmtId="178" formatCode="0.000000"/>
    <numFmt numFmtId="179" formatCode="0.000000%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#,##0.00_ ;[Red]\-#,##0.00\ "/>
    <numFmt numFmtId="185" formatCode="_-[$R$-416]\ * #,##0.00_-;\-[$R$-416]\ * #,##0.00_-;_-[$R$-416]\ * &quot;-&quot;??_-;_-@_-"/>
    <numFmt numFmtId="186" formatCode="[$-416]mmmm\-yy;@"/>
  </numFmts>
  <fonts count="88">
    <font>
      <sz val="11"/>
      <color indexed="8"/>
      <name val="Liberation Sans1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Liberation Sans1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2"/>
      <family val="0"/>
    </font>
    <font>
      <sz val="11"/>
      <color indexed="9"/>
      <name val="Calibri2"/>
      <family val="0"/>
    </font>
    <font>
      <sz val="11"/>
      <color indexed="8"/>
      <name val="Calibri2"/>
      <family val="0"/>
    </font>
    <font>
      <b/>
      <sz val="10"/>
      <color indexed="8"/>
      <name val="Arial21"/>
      <family val="0"/>
    </font>
    <font>
      <b/>
      <sz val="11"/>
      <color indexed="8"/>
      <name val="Calibri2"/>
      <family val="0"/>
    </font>
    <font>
      <sz val="10"/>
      <color indexed="8"/>
      <name val="Arial21"/>
      <family val="0"/>
    </font>
    <font>
      <b/>
      <sz val="11"/>
      <color indexed="8"/>
      <name val="Calibri"/>
      <family val="2"/>
    </font>
    <font>
      <sz val="8"/>
      <name val="Liberation Sans1"/>
      <family val="0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9.5"/>
      <name val="Georgia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Calibri"/>
      <family val="2"/>
    </font>
    <font>
      <b/>
      <sz val="11"/>
      <color indexed="12"/>
      <name val="Liberation Sans1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1"/>
      <color rgb="FF0000FF"/>
      <name val="Liberation Sans1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3333FF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rgb="FF3333FF"/>
      </top>
      <bottom style="thin">
        <color rgb="FF3333FF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hair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hair">
        <color rgb="FF0000FF"/>
      </left>
      <right style="hair">
        <color rgb="FF0000FF"/>
      </right>
      <top style="hair">
        <color rgb="FF0000FF"/>
      </top>
      <bottom>
        <color indexed="63"/>
      </bottom>
    </border>
    <border>
      <left style="hair">
        <color rgb="FF0000FF"/>
      </left>
      <right style="thin">
        <color rgb="FF0000FF"/>
      </right>
      <top style="hair">
        <color rgb="FF0000FF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3333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hair">
        <color rgb="FF3333FF"/>
      </top>
      <bottom style="hair">
        <color rgb="FF0000F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4"/>
      </left>
      <right style="dotted">
        <color indexed="12"/>
      </right>
      <top style="medium">
        <color indexed="24"/>
      </top>
      <bottom style="medium">
        <color indexed="24"/>
      </bottom>
    </border>
    <border>
      <left style="dotted">
        <color indexed="12"/>
      </left>
      <right style="medium">
        <color indexed="24"/>
      </right>
      <top style="medium">
        <color indexed="24"/>
      </top>
      <bottom style="dotted">
        <color indexed="12"/>
      </bottom>
    </border>
    <border>
      <left style="dotted">
        <color indexed="12"/>
      </left>
      <right style="medium">
        <color indexed="24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medium">
        <color indexed="24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medium">
        <color indexed="24"/>
      </bottom>
    </border>
    <border>
      <left style="dotted">
        <color indexed="12"/>
      </left>
      <right style="medium">
        <color indexed="24"/>
      </right>
      <top style="dotted">
        <color indexed="12"/>
      </top>
      <bottom style="medium">
        <color indexed="24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</border>
    <border>
      <left style="thin">
        <color rgb="FF0000FF"/>
      </left>
      <right style="hair">
        <color rgb="FF0000FF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rgb="FF0000FF"/>
      </left>
      <right style="hair">
        <color rgb="FF0000FF"/>
      </right>
      <top style="thin">
        <color rgb="FF3333FF"/>
      </top>
      <bottom style="thin">
        <color rgb="FF0000FF"/>
      </bottom>
    </border>
    <border>
      <left style="hair">
        <color rgb="FF0000FF"/>
      </left>
      <right style="hair">
        <color rgb="FF0000FF"/>
      </right>
      <top style="thin">
        <color rgb="FF3333FF"/>
      </top>
      <bottom style="thin">
        <color rgb="FF0000FF"/>
      </bottom>
    </border>
    <border>
      <left style="hair">
        <color rgb="FF0000FF"/>
      </left>
      <right>
        <color indexed="63"/>
      </right>
      <top style="thin">
        <color rgb="FF3333FF"/>
      </top>
      <bottom style="thin">
        <color rgb="FF0000F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0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73" fillId="32" borderId="0" applyNumberFormat="0" applyBorder="0" applyAlignment="0" applyProtection="0"/>
    <xf numFmtId="0" fontId="74" fillId="21" borderId="5" applyNumberFormat="0" applyAlignment="0" applyProtection="0"/>
    <xf numFmtId="41" fontId="1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65" fontId="0" fillId="0" borderId="0" applyBorder="0" applyProtection="0">
      <alignment/>
    </xf>
    <xf numFmtId="170" fontId="43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82" fillId="0" borderId="0" xfId="0" applyNumberFormat="1" applyFont="1" applyAlignment="1" applyProtection="1">
      <alignment horizontal="right" vertical="center"/>
      <protection/>
    </xf>
    <xf numFmtId="173" fontId="5" fillId="33" borderId="10" xfId="0" applyNumberFormat="1" applyFont="1" applyFill="1" applyBorder="1" applyAlignment="1">
      <alignment horizontal="center" vertical="center"/>
    </xf>
    <xf numFmtId="10" fontId="5" fillId="0" borderId="10" xfId="51" applyNumberFormat="1" applyFont="1" applyBorder="1" applyAlignment="1" applyProtection="1">
      <alignment horizontal="center" vertical="center"/>
      <protection/>
    </xf>
    <xf numFmtId="10" fontId="5" fillId="0" borderId="10" xfId="51" applyNumberFormat="1" applyFont="1" applyBorder="1" applyAlignment="1" applyProtection="1">
      <alignment horizontal="center" vertical="center" wrapText="1"/>
      <protection/>
    </xf>
    <xf numFmtId="173" fontId="5" fillId="0" borderId="10" xfId="63" applyNumberFormat="1" applyFont="1" applyBorder="1" applyAlignment="1" applyProtection="1">
      <alignment horizontal="center" vertical="center"/>
      <protection/>
    </xf>
    <xf numFmtId="10" fontId="5" fillId="34" borderId="10" xfId="51" applyNumberFormat="1" applyFont="1" applyFill="1" applyBorder="1" applyAlignment="1" applyProtection="1">
      <alignment horizontal="center" vertical="center" wrapText="1"/>
      <protection/>
    </xf>
    <xf numFmtId="164" fontId="5" fillId="0" borderId="10" xfId="63" applyNumberFormat="1" applyFont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>
      <alignment horizontal="center" vertical="center"/>
    </xf>
    <xf numFmtId="10" fontId="5" fillId="33" borderId="10" xfId="51" applyNumberFormat="1" applyFont="1" applyFill="1" applyBorder="1" applyAlignment="1" applyProtection="1">
      <alignment horizontal="center" vertical="center"/>
      <protection/>
    </xf>
    <xf numFmtId="173" fontId="5" fillId="33" borderId="10" xfId="0" applyNumberFormat="1" applyFont="1" applyFill="1" applyBorder="1" applyAlignment="1">
      <alignment horizontal="left" vertical="center"/>
    </xf>
    <xf numFmtId="164" fontId="5" fillId="33" borderId="10" xfId="5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3" fontId="11" fillId="0" borderId="0" xfId="0" applyNumberFormat="1" applyFont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15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left" vertical="center"/>
    </xf>
    <xf numFmtId="2" fontId="19" fillId="36" borderId="11" xfId="0" applyNumberFormat="1" applyFont="1" applyFill="1" applyBorder="1" applyAlignment="1">
      <alignment horizontal="center" vertical="center"/>
    </xf>
    <xf numFmtId="10" fontId="19" fillId="36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vertical="center"/>
    </xf>
    <xf numFmtId="4" fontId="8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8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2" fillId="37" borderId="13" xfId="0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64" fontId="3" fillId="38" borderId="16" xfId="0" applyNumberFormat="1" applyFont="1" applyFill="1" applyBorder="1" applyAlignment="1" applyProtection="1">
      <alignment horizontal="center" vertical="center" wrapText="1"/>
      <protection/>
    </xf>
    <xf numFmtId="164" fontId="3" fillId="38" borderId="17" xfId="0" applyNumberFormat="1" applyFont="1" applyFill="1" applyBorder="1" applyAlignment="1" applyProtection="1">
      <alignment horizontal="center" vertical="center"/>
      <protection/>
    </xf>
    <xf numFmtId="49" fontId="3" fillId="39" borderId="15" xfId="0" applyNumberFormat="1" applyFont="1" applyFill="1" applyBorder="1" applyAlignment="1">
      <alignment horizontal="center" vertical="center"/>
    </xf>
    <xf numFmtId="164" fontId="3" fillId="39" borderId="18" xfId="0" applyNumberFormat="1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/>
    </xf>
    <xf numFmtId="2" fontId="6" fillId="39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2" fillId="40" borderId="14" xfId="0" applyNumberFormat="1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vertical="center" wrapText="1"/>
    </xf>
    <xf numFmtId="0" fontId="2" fillId="40" borderId="14" xfId="0" applyNumberFormat="1" applyFont="1" applyFill="1" applyBorder="1" applyAlignment="1">
      <alignment horizontal="center" vertical="center" wrapText="1"/>
    </xf>
    <xf numFmtId="4" fontId="1" fillId="40" borderId="14" xfId="0" applyNumberFormat="1" applyFont="1" applyFill="1" applyBorder="1" applyAlignment="1">
      <alignment horizontal="right" vertical="center"/>
    </xf>
    <xf numFmtId="164" fontId="2" fillId="40" borderId="0" xfId="0" applyNumberFormat="1" applyFont="1" applyFill="1" applyBorder="1" applyAlignment="1" applyProtection="1">
      <alignment horizontal="right" vertical="center"/>
      <protection/>
    </xf>
    <xf numFmtId="0" fontId="2" fillId="41" borderId="20" xfId="0" applyFont="1" applyFill="1" applyBorder="1" applyAlignment="1">
      <alignment horizontal="center" vertical="center"/>
    </xf>
    <xf numFmtId="164" fontId="2" fillId="41" borderId="20" xfId="0" applyNumberFormat="1" applyFont="1" applyFill="1" applyBorder="1" applyAlignment="1">
      <alignment horizontal="center" vertical="center"/>
    </xf>
    <xf numFmtId="164" fontId="12" fillId="42" borderId="21" xfId="0" applyNumberFormat="1" applyFont="1" applyFill="1" applyBorder="1" applyAlignment="1">
      <alignment horizontal="center" vertical="center" wrapText="1"/>
    </xf>
    <xf numFmtId="185" fontId="1" fillId="40" borderId="14" xfId="0" applyNumberFormat="1" applyFont="1" applyFill="1" applyBorder="1" applyAlignment="1" applyProtection="1">
      <alignment horizontal="right" vertical="center" wrapText="1"/>
      <protection/>
    </xf>
    <xf numFmtId="185" fontId="2" fillId="40" borderId="14" xfId="0" applyNumberFormat="1" applyFont="1" applyFill="1" applyBorder="1" applyAlignment="1" applyProtection="1">
      <alignment horizontal="right" vertical="center" wrapText="1"/>
      <protection/>
    </xf>
    <xf numFmtId="185" fontId="2" fillId="40" borderId="18" xfId="0" applyNumberFormat="1" applyFont="1" applyFill="1" applyBorder="1" applyAlignment="1" applyProtection="1">
      <alignment horizontal="right" vertical="center"/>
      <protection/>
    </xf>
    <xf numFmtId="185" fontId="1" fillId="0" borderId="14" xfId="0" applyNumberFormat="1" applyFont="1" applyBorder="1" applyAlignment="1" applyProtection="1">
      <alignment horizontal="right" vertical="center" wrapText="1"/>
      <protection/>
    </xf>
    <xf numFmtId="185" fontId="2" fillId="0" borderId="14" xfId="0" applyNumberFormat="1" applyFont="1" applyBorder="1" applyAlignment="1" applyProtection="1">
      <alignment horizontal="right" vertical="center" wrapText="1"/>
      <protection/>
    </xf>
    <xf numFmtId="10" fontId="3" fillId="38" borderId="22" xfId="0" applyNumberFormat="1" applyFont="1" applyFill="1" applyBorder="1" applyAlignment="1" applyProtection="1">
      <alignment horizontal="center" vertical="center" wrapText="1"/>
      <protection/>
    </xf>
    <xf numFmtId="164" fontId="3" fillId="38" borderId="23" xfId="0" applyNumberFormat="1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>
      <alignment vertical="center" wrapText="1"/>
    </xf>
    <xf numFmtId="164" fontId="12" fillId="42" borderId="25" xfId="0" applyNumberFormat="1" applyFont="1" applyFill="1" applyBorder="1" applyAlignment="1">
      <alignment horizontal="center" vertical="center" wrapText="1"/>
    </xf>
    <xf numFmtId="164" fontId="2" fillId="41" borderId="26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6" fillId="39" borderId="19" xfId="0" applyFont="1" applyFill="1" applyBorder="1" applyAlignment="1">
      <alignment horizontal="center" vertical="center"/>
    </xf>
    <xf numFmtId="10" fontId="5" fillId="0" borderId="10" xfId="51" applyNumberFormat="1" applyFont="1" applyFill="1" applyBorder="1" applyAlignment="1" applyProtection="1">
      <alignment horizontal="center" vertical="center" wrapText="1"/>
      <protection/>
    </xf>
    <xf numFmtId="0" fontId="24" fillId="43" borderId="0" xfId="49" applyFont="1" applyFill="1" applyAlignment="1">
      <alignment horizontal="center"/>
      <protection/>
    </xf>
    <xf numFmtId="0" fontId="25" fillId="43" borderId="0" xfId="49" applyFont="1" applyFill="1">
      <alignment/>
      <protection/>
    </xf>
    <xf numFmtId="0" fontId="0" fillId="43" borderId="0" xfId="0" applyFill="1" applyAlignment="1">
      <alignment/>
    </xf>
    <xf numFmtId="0" fontId="24" fillId="0" borderId="27" xfId="49" applyFont="1" applyBorder="1">
      <alignment/>
      <protection/>
    </xf>
    <xf numFmtId="0" fontId="26" fillId="0" borderId="0" xfId="49" applyFont="1">
      <alignment/>
      <protection/>
    </xf>
    <xf numFmtId="0" fontId="23" fillId="0" borderId="0" xfId="49">
      <alignment/>
      <protection/>
    </xf>
    <xf numFmtId="0" fontId="23" fillId="43" borderId="0" xfId="49" applyFill="1">
      <alignment/>
      <protection/>
    </xf>
    <xf numFmtId="0" fontId="28" fillId="0" borderId="28" xfId="49" applyFont="1" applyBorder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28" fillId="43" borderId="0" xfId="49" applyFont="1" applyFill="1" applyAlignment="1">
      <alignment horizontal="center"/>
      <protection/>
    </xf>
    <xf numFmtId="186" fontId="26" fillId="0" borderId="0" xfId="49" applyNumberFormat="1" applyFont="1" applyAlignment="1">
      <alignment horizontal="center"/>
      <protection/>
    </xf>
    <xf numFmtId="186" fontId="26" fillId="43" borderId="0" xfId="49" applyNumberFormat="1" applyFont="1" applyFill="1" applyAlignment="1">
      <alignment horizontal="center"/>
      <protection/>
    </xf>
    <xf numFmtId="0" fontId="31" fillId="0" borderId="0" xfId="49" applyFont="1">
      <alignment/>
      <protection/>
    </xf>
    <xf numFmtId="0" fontId="32" fillId="0" borderId="29" xfId="49" applyFont="1" applyBorder="1">
      <alignment/>
      <protection/>
    </xf>
    <xf numFmtId="0" fontId="26" fillId="0" borderId="30" xfId="49" applyFont="1" applyBorder="1">
      <alignment/>
      <protection/>
    </xf>
    <xf numFmtId="0" fontId="26" fillId="0" borderId="30" xfId="49" applyFont="1" applyBorder="1" applyAlignment="1">
      <alignment horizontal="center"/>
      <protection/>
    </xf>
    <xf numFmtId="0" fontId="26" fillId="0" borderId="31" xfId="49" applyFont="1" applyBorder="1" applyAlignment="1">
      <alignment horizontal="center"/>
      <protection/>
    </xf>
    <xf numFmtId="0" fontId="26" fillId="0" borderId="0" xfId="49" applyFont="1" applyAlignment="1">
      <alignment horizontal="center"/>
      <protection/>
    </xf>
    <xf numFmtId="0" fontId="28" fillId="0" borderId="32" xfId="49" applyFont="1" applyBorder="1" applyAlignment="1">
      <alignment horizontal="left"/>
      <protection/>
    </xf>
    <xf numFmtId="0" fontId="26" fillId="0" borderId="33" xfId="49" applyFont="1" applyBorder="1">
      <alignment/>
      <protection/>
    </xf>
    <xf numFmtId="0" fontId="26" fillId="0" borderId="34" xfId="49" applyFont="1" applyBorder="1">
      <alignment/>
      <protection/>
    </xf>
    <xf numFmtId="0" fontId="26" fillId="0" borderId="35" xfId="49" applyFont="1" applyBorder="1">
      <alignment/>
      <protection/>
    </xf>
    <xf numFmtId="0" fontId="26" fillId="0" borderId="32" xfId="49" applyFont="1" applyBorder="1">
      <alignment/>
      <protection/>
    </xf>
    <xf numFmtId="0" fontId="34" fillId="0" borderId="33" xfId="49" applyFont="1" applyBorder="1">
      <alignment/>
      <protection/>
    </xf>
    <xf numFmtId="0" fontId="34" fillId="0" borderId="34" xfId="49" applyFont="1" applyBorder="1">
      <alignment/>
      <protection/>
    </xf>
    <xf numFmtId="186" fontId="26" fillId="0" borderId="36" xfId="49" applyNumberFormat="1" applyFont="1" applyBorder="1" applyAlignment="1">
      <alignment horizontal="center"/>
      <protection/>
    </xf>
    <xf numFmtId="0" fontId="32" fillId="0" borderId="0" xfId="49" applyFont="1">
      <alignment/>
      <protection/>
    </xf>
    <xf numFmtId="0" fontId="34" fillId="0" borderId="37" xfId="49" applyFont="1" applyBorder="1">
      <alignment/>
      <protection/>
    </xf>
    <xf numFmtId="0" fontId="34" fillId="0" borderId="0" xfId="49" applyFont="1">
      <alignment/>
      <protection/>
    </xf>
    <xf numFmtId="0" fontId="34" fillId="43" borderId="0" xfId="49" applyFont="1" applyFill="1">
      <alignment/>
      <protection/>
    </xf>
    <xf numFmtId="0" fontId="26" fillId="0" borderId="29" xfId="49" applyFont="1" applyBorder="1" applyAlignment="1">
      <alignment horizontal="center"/>
      <protection/>
    </xf>
    <xf numFmtId="0" fontId="25" fillId="0" borderId="28" xfId="49" applyFont="1" applyBorder="1" applyAlignment="1">
      <alignment horizontal="center"/>
      <protection/>
    </xf>
    <xf numFmtId="4" fontId="25" fillId="0" borderId="28" xfId="49" applyNumberFormat="1" applyFont="1" applyBorder="1" applyAlignment="1">
      <alignment horizontal="center"/>
      <protection/>
    </xf>
    <xf numFmtId="4" fontId="25" fillId="43" borderId="0" xfId="49" applyNumberFormat="1" applyFont="1" applyFill="1" applyAlignment="1">
      <alignment horizontal="center"/>
      <protection/>
    </xf>
    <xf numFmtId="0" fontId="26" fillId="0" borderId="34" xfId="49" applyFont="1" applyBorder="1" applyAlignment="1">
      <alignment horizontal="center"/>
      <protection/>
    </xf>
    <xf numFmtId="0" fontId="25" fillId="0" borderId="38" xfId="49" applyFont="1" applyBorder="1" applyAlignment="1">
      <alignment horizontal="center"/>
      <protection/>
    </xf>
    <xf numFmtId="0" fontId="25" fillId="0" borderId="39" xfId="49" applyFont="1" applyBorder="1" applyAlignment="1">
      <alignment horizontal="center"/>
      <protection/>
    </xf>
    <xf numFmtId="4" fontId="31" fillId="0" borderId="28" xfId="49" applyNumberFormat="1" applyFont="1" applyBorder="1" applyAlignment="1">
      <alignment horizontal="center"/>
      <protection/>
    </xf>
    <xf numFmtId="0" fontId="25" fillId="0" borderId="36" xfId="49" applyFont="1" applyBorder="1" applyAlignment="1">
      <alignment horizontal="center"/>
      <protection/>
    </xf>
    <xf numFmtId="0" fontId="25" fillId="0" borderId="40" xfId="49" applyFont="1" applyBorder="1" applyAlignment="1">
      <alignment horizontal="center"/>
      <protection/>
    </xf>
    <xf numFmtId="0" fontId="35" fillId="0" borderId="41" xfId="49" applyFont="1" applyBorder="1" applyAlignment="1">
      <alignment horizontal="center" vertical="top" wrapText="1"/>
      <protection/>
    </xf>
    <xf numFmtId="0" fontId="35" fillId="0" borderId="40" xfId="49" applyFont="1" applyBorder="1" applyAlignment="1">
      <alignment horizontal="center" vertical="top" wrapText="1"/>
      <protection/>
    </xf>
    <xf numFmtId="4" fontId="25" fillId="44" borderId="39" xfId="49" applyNumberFormat="1" applyFont="1" applyFill="1" applyBorder="1" applyAlignment="1">
      <alignment horizontal="center"/>
      <protection/>
    </xf>
    <xf numFmtId="0" fontId="26" fillId="0" borderId="38" xfId="49" applyFont="1" applyBorder="1" applyAlignment="1">
      <alignment horizontal="center" vertical="center"/>
      <protection/>
    </xf>
    <xf numFmtId="0" fontId="31" fillId="0" borderId="28" xfId="49" applyFont="1" applyBorder="1" applyAlignment="1">
      <alignment vertical="center" wrapText="1"/>
      <protection/>
    </xf>
    <xf numFmtId="0" fontId="25" fillId="0" borderId="42" xfId="49" applyFont="1" applyBorder="1" applyAlignment="1">
      <alignment horizontal="center" vertical="center"/>
      <protection/>
    </xf>
    <xf numFmtId="4" fontId="25" fillId="0" borderId="43" xfId="49" applyNumberFormat="1" applyFont="1" applyBorder="1" applyAlignment="1">
      <alignment horizontal="center" vertical="center"/>
      <protection/>
    </xf>
    <xf numFmtId="0" fontId="28" fillId="0" borderId="36" xfId="49" applyFont="1" applyBorder="1" applyAlignment="1">
      <alignment horizontal="center" vertical="center"/>
      <protection/>
    </xf>
    <xf numFmtId="0" fontId="31" fillId="0" borderId="36" xfId="49" applyFont="1" applyBorder="1" applyAlignment="1">
      <alignment vertical="center"/>
      <protection/>
    </xf>
    <xf numFmtId="0" fontId="31" fillId="0" borderId="40" xfId="49" applyFont="1" applyBorder="1" applyAlignment="1">
      <alignment horizontal="center" vertical="center"/>
      <protection/>
    </xf>
    <xf numFmtId="0" fontId="26" fillId="0" borderId="38" xfId="49" applyFont="1" applyBorder="1" applyAlignment="1">
      <alignment horizontal="center" vertical="top"/>
      <protection/>
    </xf>
    <xf numFmtId="0" fontId="31" fillId="0" borderId="28" xfId="49" applyFont="1" applyBorder="1" applyAlignment="1">
      <alignment vertical="top" wrapText="1"/>
      <protection/>
    </xf>
    <xf numFmtId="4" fontId="25" fillId="0" borderId="43" xfId="49" applyNumberFormat="1" applyFont="1" applyBorder="1" applyAlignment="1">
      <alignment horizontal="center"/>
      <protection/>
    </xf>
    <xf numFmtId="0" fontId="28" fillId="0" borderId="36" xfId="49" applyFont="1" applyBorder="1" applyAlignment="1">
      <alignment horizontal="center" vertical="top"/>
      <protection/>
    </xf>
    <xf numFmtId="0" fontId="31" fillId="0" borderId="36" xfId="49" applyFont="1" applyBorder="1" applyAlignment="1">
      <alignment vertical="top"/>
      <protection/>
    </xf>
    <xf numFmtId="0" fontId="31" fillId="0" borderId="40" xfId="49" applyFont="1" applyBorder="1" applyAlignment="1">
      <alignment horizontal="center"/>
      <protection/>
    </xf>
    <xf numFmtId="0" fontId="31" fillId="0" borderId="28" xfId="49" applyFont="1" applyBorder="1" applyAlignment="1">
      <alignment vertical="top"/>
      <protection/>
    </xf>
    <xf numFmtId="0" fontId="25" fillId="0" borderId="36" xfId="49" applyFont="1" applyBorder="1" applyAlignment="1">
      <alignment vertical="top"/>
      <protection/>
    </xf>
    <xf numFmtId="0" fontId="28" fillId="44" borderId="44" xfId="49" applyFont="1" applyFill="1" applyBorder="1" applyAlignment="1">
      <alignment horizontal="left" vertical="center"/>
      <protection/>
    </xf>
    <xf numFmtId="0" fontId="25" fillId="44" borderId="45" xfId="49" applyFont="1" applyFill="1" applyBorder="1">
      <alignment/>
      <protection/>
    </xf>
    <xf numFmtId="0" fontId="31" fillId="44" borderId="46" xfId="49" applyFont="1" applyFill="1" applyBorder="1" applyAlignment="1">
      <alignment horizontal="center"/>
      <protection/>
    </xf>
    <xf numFmtId="4" fontId="25" fillId="44" borderId="37" xfId="49" applyNumberFormat="1" applyFont="1" applyFill="1" applyBorder="1" applyAlignment="1">
      <alignment horizontal="center"/>
      <protection/>
    </xf>
    <xf numFmtId="4" fontId="25" fillId="44" borderId="32" xfId="49" applyNumberFormat="1" applyFont="1" applyFill="1" applyBorder="1">
      <alignment/>
      <protection/>
    </xf>
    <xf numFmtId="4" fontId="25" fillId="44" borderId="40" xfId="49" applyNumberFormat="1" applyFont="1" applyFill="1" applyBorder="1">
      <alignment/>
      <protection/>
    </xf>
    <xf numFmtId="0" fontId="31" fillId="0" borderId="35" xfId="49" applyFont="1" applyBorder="1" applyAlignment="1">
      <alignment horizontal="left"/>
      <protection/>
    </xf>
    <xf numFmtId="0" fontId="31" fillId="0" borderId="37" xfId="49" applyFont="1" applyBorder="1" applyAlignment="1">
      <alignment horizontal="left"/>
      <protection/>
    </xf>
    <xf numFmtId="4" fontId="31" fillId="0" borderId="41" xfId="49" applyNumberFormat="1" applyFont="1" applyBorder="1" applyAlignment="1">
      <alignment horizontal="center"/>
      <protection/>
    </xf>
    <xf numFmtId="0" fontId="26" fillId="43" borderId="0" xfId="49" applyFont="1" applyFill="1">
      <alignment/>
      <protection/>
    </xf>
    <xf numFmtId="0" fontId="38" fillId="0" borderId="0" xfId="49" applyFont="1" applyAlignment="1">
      <alignment horizontal="left"/>
      <protection/>
    </xf>
    <xf numFmtId="0" fontId="39" fillId="0" borderId="0" xfId="49" applyFont="1" applyAlignment="1">
      <alignment horizontal="left"/>
      <protection/>
    </xf>
    <xf numFmtId="0" fontId="39" fillId="0" borderId="0" xfId="49" applyFont="1" applyAlignment="1">
      <alignment horizontal="center"/>
      <protection/>
    </xf>
    <xf numFmtId="4" fontId="40" fillId="0" borderId="0" xfId="49" applyNumberFormat="1" applyFont="1" applyAlignment="1">
      <alignment horizontal="center"/>
      <protection/>
    </xf>
    <xf numFmtId="4" fontId="39" fillId="0" borderId="0" xfId="49" applyNumberFormat="1" applyFont="1" applyAlignment="1">
      <alignment horizontal="center"/>
      <protection/>
    </xf>
    <xf numFmtId="4" fontId="40" fillId="43" borderId="0" xfId="49" applyNumberFormat="1" applyFont="1" applyFill="1" applyAlignment="1">
      <alignment horizontal="center"/>
      <protection/>
    </xf>
    <xf numFmtId="0" fontId="36" fillId="43" borderId="0" xfId="49" applyFont="1" applyFill="1">
      <alignment/>
      <protection/>
    </xf>
    <xf numFmtId="0" fontId="25" fillId="0" borderId="0" xfId="49" applyFont="1">
      <alignment/>
      <protection/>
    </xf>
    <xf numFmtId="0" fontId="41" fillId="0" borderId="0" xfId="49" applyFont="1">
      <alignment/>
      <protection/>
    </xf>
    <xf numFmtId="0" fontId="25" fillId="0" borderId="0" xfId="49" applyFont="1" applyAlignment="1">
      <alignment horizontal="center"/>
      <protection/>
    </xf>
    <xf numFmtId="0" fontId="42" fillId="0" borderId="0" xfId="49" applyFont="1">
      <alignment/>
      <protection/>
    </xf>
    <xf numFmtId="0" fontId="36" fillId="45" borderId="0" xfId="49" applyFont="1" applyFill="1" applyAlignment="1">
      <alignment horizontal="center"/>
      <protection/>
    </xf>
    <xf numFmtId="4" fontId="37" fillId="45" borderId="0" xfId="49" applyNumberFormat="1" applyFont="1" applyFill="1" applyAlignment="1">
      <alignment horizontal="center"/>
      <protection/>
    </xf>
    <xf numFmtId="10" fontId="5" fillId="0" borderId="0" xfId="5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27" fillId="0" borderId="27" xfId="49" applyFont="1" applyFill="1" applyBorder="1">
      <alignment/>
      <protection/>
    </xf>
    <xf numFmtId="0" fontId="27" fillId="0" borderId="0" xfId="49" applyFont="1" applyFill="1">
      <alignment/>
      <protection/>
    </xf>
    <xf numFmtId="0" fontId="23" fillId="0" borderId="0" xfId="49" applyFill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29" fillId="0" borderId="27" xfId="49" applyFont="1" applyFill="1" applyBorder="1">
      <alignment/>
      <protection/>
    </xf>
    <xf numFmtId="0" fontId="26" fillId="0" borderId="36" xfId="49" applyFont="1" applyBorder="1" applyAlignment="1">
      <alignment horizontal="center" vertical="top"/>
      <protection/>
    </xf>
    <xf numFmtId="4" fontId="25" fillId="0" borderId="31" xfId="49" applyNumberFormat="1" applyFont="1" applyBorder="1" applyAlignment="1">
      <alignment horizontal="center"/>
      <protection/>
    </xf>
    <xf numFmtId="4" fontId="25" fillId="44" borderId="47" xfId="49" applyNumberFormat="1" applyFont="1" applyFill="1" applyBorder="1" applyAlignment="1">
      <alignment horizontal="center"/>
      <protection/>
    </xf>
    <xf numFmtId="0" fontId="0" fillId="0" borderId="48" xfId="0" applyBorder="1" applyAlignment="1">
      <alignment/>
    </xf>
    <xf numFmtId="0" fontId="6" fillId="39" borderId="19" xfId="0" applyFont="1" applyFill="1" applyBorder="1" applyAlignment="1">
      <alignment horizontal="center" vertical="center"/>
    </xf>
    <xf numFmtId="10" fontId="6" fillId="39" borderId="19" xfId="0" applyNumberFormat="1" applyFont="1" applyFill="1" applyBorder="1" applyAlignment="1">
      <alignment horizontal="center" vertical="center"/>
    </xf>
    <xf numFmtId="2" fontId="6" fillId="39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4" fillId="46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3" fillId="41" borderId="58" xfId="0" applyFont="1" applyFill="1" applyBorder="1" applyAlignment="1">
      <alignment horizontal="center" vertical="center"/>
    </xf>
    <xf numFmtId="0" fontId="3" fillId="41" borderId="59" xfId="0" applyFont="1" applyFill="1" applyBorder="1" applyAlignment="1">
      <alignment horizontal="center" vertical="center"/>
    </xf>
    <xf numFmtId="0" fontId="3" fillId="41" borderId="60" xfId="0" applyFont="1" applyFill="1" applyBorder="1" applyAlignment="1">
      <alignment horizontal="center" vertical="center"/>
    </xf>
    <xf numFmtId="0" fontId="3" fillId="41" borderId="61" xfId="0" applyFont="1" applyFill="1" applyBorder="1" applyAlignment="1">
      <alignment horizontal="center" vertical="center"/>
    </xf>
    <xf numFmtId="0" fontId="3" fillId="41" borderId="62" xfId="0" applyFont="1" applyFill="1" applyBorder="1" applyAlignment="1">
      <alignment horizontal="center" vertical="center"/>
    </xf>
    <xf numFmtId="0" fontId="3" fillId="41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8" borderId="64" xfId="0" applyNumberFormat="1" applyFont="1" applyFill="1" applyBorder="1" applyAlignment="1">
      <alignment horizontal="center" vertical="center"/>
    </xf>
    <xf numFmtId="49" fontId="3" fillId="38" borderId="6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49" fontId="3" fillId="38" borderId="22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4" fontId="5" fillId="38" borderId="16" xfId="0" applyNumberFormat="1" applyFont="1" applyFill="1" applyBorder="1" applyAlignment="1" applyProtection="1">
      <alignment horizontal="center" vertical="center"/>
      <protection/>
    </xf>
    <xf numFmtId="4" fontId="5" fillId="38" borderId="22" xfId="0" applyNumberFormat="1" applyFont="1" applyFill="1" applyBorder="1" applyAlignment="1" applyProtection="1">
      <alignment horizontal="center" vertical="center"/>
      <protection/>
    </xf>
    <xf numFmtId="164" fontId="5" fillId="38" borderId="16" xfId="0" applyNumberFormat="1" applyFont="1" applyFill="1" applyBorder="1" applyAlignment="1" applyProtection="1">
      <alignment horizontal="center" vertical="center" wrapText="1"/>
      <protection/>
    </xf>
    <xf numFmtId="164" fontId="5" fillId="38" borderId="22" xfId="0" applyNumberFormat="1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>
      <alignment horizontal="left" vertical="center" wrapText="1"/>
    </xf>
    <xf numFmtId="0" fontId="3" fillId="39" borderId="67" xfId="0" applyFont="1" applyFill="1" applyBorder="1" applyAlignment="1">
      <alignment horizontal="left" vertical="center" wrapText="1"/>
    </xf>
    <xf numFmtId="0" fontId="3" fillId="39" borderId="68" xfId="0" applyFont="1" applyFill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12" fillId="42" borderId="72" xfId="0" applyNumberFormat="1" applyFont="1" applyFill="1" applyBorder="1" applyAlignment="1">
      <alignment horizontal="center" vertical="center"/>
    </xf>
    <xf numFmtId="49" fontId="12" fillId="42" borderId="73" xfId="0" applyNumberFormat="1" applyFont="1" applyFill="1" applyBorder="1" applyAlignment="1">
      <alignment horizontal="center" vertical="center"/>
    </xf>
    <xf numFmtId="49" fontId="12" fillId="42" borderId="7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4" fontId="10" fillId="0" borderId="10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5" fillId="0" borderId="82" xfId="0" applyFont="1" applyBorder="1" applyAlignment="1">
      <alignment horizontal="center" vertical="center" wrapText="1"/>
    </xf>
    <xf numFmtId="0" fontId="85" fillId="0" borderId="83" xfId="0" applyFont="1" applyBorder="1" applyAlignment="1">
      <alignment horizontal="center" vertical="center" wrapText="1"/>
    </xf>
    <xf numFmtId="0" fontId="85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86" fillId="47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/>
    </xf>
    <xf numFmtId="0" fontId="6" fillId="39" borderId="90" xfId="0" applyFont="1" applyFill="1" applyBorder="1" applyAlignment="1">
      <alignment horizontal="left" vertical="center"/>
    </xf>
    <xf numFmtId="0" fontId="6" fillId="39" borderId="91" xfId="0" applyFont="1" applyFill="1" applyBorder="1" applyAlignment="1">
      <alignment horizontal="left" vertical="center"/>
    </xf>
    <xf numFmtId="0" fontId="6" fillId="39" borderId="92" xfId="0" applyFont="1" applyFill="1" applyBorder="1" applyAlignment="1">
      <alignment horizontal="left" vertical="center"/>
    </xf>
    <xf numFmtId="0" fontId="87" fillId="46" borderId="82" xfId="0" applyFont="1" applyFill="1" applyBorder="1" applyAlignment="1">
      <alignment horizontal="center"/>
    </xf>
    <xf numFmtId="0" fontId="87" fillId="46" borderId="83" xfId="0" applyFont="1" applyFill="1" applyBorder="1" applyAlignment="1">
      <alignment horizontal="center"/>
    </xf>
    <xf numFmtId="0" fontId="87" fillId="46" borderId="84" xfId="0" applyFont="1" applyFill="1" applyBorder="1" applyAlignment="1">
      <alignment horizontal="center"/>
    </xf>
    <xf numFmtId="0" fontId="10" fillId="0" borderId="0" xfId="49" applyFont="1" applyAlignment="1">
      <alignment horizontal="center" vertical="center" wrapText="1"/>
      <protection/>
    </xf>
    <xf numFmtId="4" fontId="25" fillId="0" borderId="93" xfId="49" applyNumberFormat="1" applyFont="1" applyBorder="1" applyAlignment="1">
      <alignment horizontal="center"/>
      <protection/>
    </xf>
    <xf numFmtId="4" fontId="25" fillId="0" borderId="94" xfId="49" applyNumberFormat="1" applyFont="1" applyBorder="1" applyAlignment="1">
      <alignment horizontal="center"/>
      <protection/>
    </xf>
    <xf numFmtId="4" fontId="25" fillId="0" borderId="95" xfId="49" applyNumberFormat="1" applyFont="1" applyBorder="1" applyAlignment="1">
      <alignment horizontal="center"/>
      <protection/>
    </xf>
    <xf numFmtId="4" fontId="25" fillId="0" borderId="96" xfId="49" applyNumberFormat="1" applyFont="1" applyBorder="1" applyAlignment="1">
      <alignment horizontal="center"/>
      <protection/>
    </xf>
    <xf numFmtId="4" fontId="25" fillId="0" borderId="97" xfId="49" applyNumberFormat="1" applyFont="1" applyBorder="1" applyAlignment="1">
      <alignment horizontal="center"/>
      <protection/>
    </xf>
    <xf numFmtId="4" fontId="25" fillId="0" borderId="43" xfId="49" applyNumberFormat="1" applyFont="1" applyBorder="1" applyAlignment="1">
      <alignment horizontal="center"/>
      <protection/>
    </xf>
    <xf numFmtId="0" fontId="24" fillId="0" borderId="27" xfId="49" applyFont="1" applyBorder="1" applyAlignment="1">
      <alignment horizontal="center"/>
      <protection/>
    </xf>
    <xf numFmtId="0" fontId="28" fillId="0" borderId="28" xfId="49" applyFont="1" applyBorder="1" applyAlignment="1">
      <alignment horizontal="center"/>
      <protection/>
    </xf>
    <xf numFmtId="0" fontId="30" fillId="0" borderId="36" xfId="49" applyFont="1" applyBorder="1" applyAlignment="1">
      <alignment horizontal="center" vertical="center"/>
      <protection/>
    </xf>
    <xf numFmtId="0" fontId="33" fillId="0" borderId="40" xfId="49" applyFont="1" applyBorder="1" applyAlignment="1">
      <alignment horizontal="left"/>
      <protection/>
    </xf>
    <xf numFmtId="0" fontId="31" fillId="0" borderId="32" xfId="49" applyFont="1" applyBorder="1" applyAlignment="1">
      <alignment horizontal="center"/>
      <protection/>
    </xf>
    <xf numFmtId="0" fontId="31" fillId="0" borderId="11" xfId="49" applyFont="1" applyBorder="1" applyAlignment="1">
      <alignment horizontal="center"/>
      <protection/>
    </xf>
    <xf numFmtId="4" fontId="25" fillId="0" borderId="96" xfId="49" applyNumberFormat="1" applyFont="1" applyBorder="1" applyAlignment="1">
      <alignment horizontal="center" vertical="center"/>
      <protection/>
    </xf>
    <xf numFmtId="4" fontId="25" fillId="0" borderId="93" xfId="49" applyNumberFormat="1" applyFont="1" applyBorder="1" applyAlignment="1">
      <alignment horizontal="center" vertical="center"/>
      <protection/>
    </xf>
    <xf numFmtId="4" fontId="31" fillId="0" borderId="11" xfId="49" applyNumberFormat="1" applyFont="1" applyBorder="1" applyAlignment="1">
      <alignment horizontal="center"/>
      <protection/>
    </xf>
    <xf numFmtId="4" fontId="25" fillId="0" borderId="11" xfId="49" applyNumberFormat="1" applyFont="1" applyBorder="1" applyAlignment="1">
      <alignment horizontal="center"/>
      <protection/>
    </xf>
    <xf numFmtId="4" fontId="25" fillId="0" borderId="11" xfId="49" applyNumberFormat="1" applyFont="1" applyFill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7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2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729FCF"/>
      <rgbColor rgb="00993366"/>
      <rgbColor rgb="00F2F2F2"/>
      <rgbColor rgb="00CCFFFF"/>
      <rgbColor rgb="00660066"/>
      <rgbColor rgb="00FF8080"/>
      <rgbColor rgb="000070C0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285750</xdr:rowOff>
    </xdr:from>
    <xdr:to>
      <xdr:col>1</xdr:col>
      <xdr:colOff>819150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4192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1114425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906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10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76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2\92-%20Remanescente%20PAC%20I%20e%20Avan&#231;ar\2-%20Or&#231;amento\2-%20Or&#231;amento%20final%20para%20licitar%20de%20acordo%20com%20os%20projetos\2-%20Or&#231;amento%20Planilha%20M&#250;ltipla%20-%20Sele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&#231;&#245;es%20antigo\2-%20Or&#231;amento%20Planilha%20M&#250;ltipla%20-%20Modelo%20R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1"/>
  <sheetViews>
    <sheetView zoomScale="120" zoomScaleNormal="120" zoomScaleSheetLayoutView="100" zoomScalePageLayoutView="0" workbookViewId="0" topLeftCell="A1">
      <selection activeCell="H118" sqref="H118"/>
    </sheetView>
  </sheetViews>
  <sheetFormatPr defaultColWidth="7.8984375" defaultRowHeight="14.25" customHeight="1"/>
  <cols>
    <col min="1" max="1" width="8.3984375" style="1" customWidth="1"/>
    <col min="2" max="2" width="9.59765625" style="2" customWidth="1"/>
    <col min="3" max="3" width="10.09765625" style="2" customWidth="1"/>
    <col min="4" max="4" width="41.8984375" style="3" customWidth="1"/>
    <col min="5" max="5" width="8.59765625" style="2" customWidth="1"/>
    <col min="6" max="6" width="8.8984375" style="51" bestFit="1" customWidth="1"/>
    <col min="7" max="7" width="11.8984375" style="14" customWidth="1"/>
    <col min="8" max="8" width="13.8984375" style="4" customWidth="1"/>
    <col min="9" max="9" width="19.8984375" style="5" customWidth="1"/>
    <col min="10" max="10" width="2.19921875" style="6" customWidth="1"/>
    <col min="11" max="11" width="46.8984375" style="1" customWidth="1"/>
    <col min="12" max="12" width="3.69921875" style="1" hidden="1" customWidth="1"/>
    <col min="13" max="14" width="19.3984375" style="2" hidden="1" customWidth="1"/>
    <col min="15" max="60" width="7.3984375" style="1" customWidth="1"/>
    <col min="61" max="249" width="7" style="0" customWidth="1"/>
  </cols>
  <sheetData>
    <row r="1" spans="1:10" ht="27.75" customHeight="1" thickBot="1">
      <c r="A1" s="188"/>
      <c r="B1" s="188"/>
      <c r="C1" s="189" t="s">
        <v>0</v>
      </c>
      <c r="D1" s="189"/>
      <c r="E1" s="189"/>
      <c r="F1" s="189"/>
      <c r="G1" s="189"/>
      <c r="H1" s="189"/>
      <c r="I1" s="189"/>
      <c r="J1" s="7"/>
    </row>
    <row r="2" spans="1:10" ht="30" customHeight="1" thickBot="1">
      <c r="A2" s="188"/>
      <c r="B2" s="188"/>
      <c r="C2" s="190" t="s">
        <v>1</v>
      </c>
      <c r="D2" s="190"/>
      <c r="E2" s="190"/>
      <c r="F2" s="190"/>
      <c r="G2" s="190"/>
      <c r="H2" s="190"/>
      <c r="I2" s="190"/>
      <c r="J2" s="7"/>
    </row>
    <row r="3" spans="1:10" ht="31.5" customHeight="1" thickBot="1">
      <c r="A3" s="188"/>
      <c r="B3" s="188"/>
      <c r="C3" s="191" t="s">
        <v>163</v>
      </c>
      <c r="D3" s="191"/>
      <c r="E3" s="191"/>
      <c r="F3" s="191"/>
      <c r="G3" s="191"/>
      <c r="H3" s="191"/>
      <c r="I3" s="191"/>
      <c r="J3" s="8"/>
    </row>
    <row r="4" spans="1:14" ht="33" customHeight="1" thickBot="1">
      <c r="A4" s="188"/>
      <c r="B4" s="188"/>
      <c r="C4" s="192" t="s">
        <v>526</v>
      </c>
      <c r="D4" s="192"/>
      <c r="E4" s="193" t="s">
        <v>2</v>
      </c>
      <c r="F4" s="193"/>
      <c r="G4" s="193"/>
      <c r="H4" s="194" t="s">
        <v>75</v>
      </c>
      <c r="I4" s="194"/>
      <c r="J4" s="9"/>
      <c r="K4" s="195" t="s">
        <v>18</v>
      </c>
      <c r="M4" s="198" t="s">
        <v>70</v>
      </c>
      <c r="N4" s="199"/>
    </row>
    <row r="5" spans="1:14" ht="25.5" customHeight="1">
      <c r="A5" s="204"/>
      <c r="B5" s="204"/>
      <c r="C5" s="204"/>
      <c r="D5" s="204"/>
      <c r="E5" s="204"/>
      <c r="F5" s="204"/>
      <c r="G5" s="204"/>
      <c r="H5" s="204"/>
      <c r="I5" s="204"/>
      <c r="J5" s="10"/>
      <c r="K5" s="196"/>
      <c r="M5" s="200"/>
      <c r="N5" s="201"/>
    </row>
    <row r="6" spans="1:14" ht="37.5" customHeight="1">
      <c r="A6" s="205" t="s">
        <v>3</v>
      </c>
      <c r="B6" s="207" t="s">
        <v>4</v>
      </c>
      <c r="C6" s="209" t="s">
        <v>5</v>
      </c>
      <c r="D6" s="211" t="s">
        <v>6</v>
      </c>
      <c r="E6" s="209" t="s">
        <v>7</v>
      </c>
      <c r="F6" s="213" t="s">
        <v>8</v>
      </c>
      <c r="G6" s="215" t="s">
        <v>9</v>
      </c>
      <c r="H6" s="60" t="s">
        <v>10</v>
      </c>
      <c r="I6" s="61" t="s">
        <v>11</v>
      </c>
      <c r="J6" s="11"/>
      <c r="K6" s="196"/>
      <c r="M6" s="200"/>
      <c r="N6" s="201"/>
    </row>
    <row r="7" spans="1:14" ht="17.25" customHeight="1">
      <c r="A7" s="206"/>
      <c r="B7" s="208"/>
      <c r="C7" s="210"/>
      <c r="D7" s="212"/>
      <c r="E7" s="210"/>
      <c r="F7" s="214"/>
      <c r="G7" s="216"/>
      <c r="H7" s="83">
        <v>0.2423</v>
      </c>
      <c r="I7" s="84">
        <f>I122</f>
        <v>2245297.19</v>
      </c>
      <c r="J7" s="11"/>
      <c r="K7" s="197"/>
      <c r="M7" s="202"/>
      <c r="N7" s="203"/>
    </row>
    <row r="8" spans="1:13" ht="14.25" customHeight="1">
      <c r="A8" s="220"/>
      <c r="B8" s="221"/>
      <c r="C8" s="221"/>
      <c r="D8" s="221"/>
      <c r="E8" s="221"/>
      <c r="F8" s="221"/>
      <c r="G8" s="221"/>
      <c r="H8" s="221"/>
      <c r="I8" s="222"/>
      <c r="J8" s="12"/>
      <c r="M8" s="52"/>
    </row>
    <row r="9" spans="1:14" ht="19.5" customHeight="1">
      <c r="A9" s="62" t="s">
        <v>59</v>
      </c>
      <c r="B9" s="217" t="s">
        <v>92</v>
      </c>
      <c r="C9" s="218"/>
      <c r="D9" s="218"/>
      <c r="E9" s="218"/>
      <c r="F9" s="218"/>
      <c r="G9" s="218"/>
      <c r="H9" s="219"/>
      <c r="I9" s="63">
        <f>SUM(I10:I12)</f>
        <v>22400.940000000002</v>
      </c>
      <c r="J9" s="74"/>
      <c r="K9" s="85"/>
      <c r="M9" s="87">
        <f>I9</f>
        <v>22400.940000000002</v>
      </c>
      <c r="N9" s="76">
        <f aca="true" t="shared" si="0" ref="N9:N68">ROUND(F9*H9,2)</f>
        <v>0</v>
      </c>
    </row>
    <row r="10" spans="1:14" ht="29.25" customHeight="1">
      <c r="A10" s="68" t="s">
        <v>12</v>
      </c>
      <c r="B10" s="69" t="s">
        <v>93</v>
      </c>
      <c r="C10" s="70" t="s">
        <v>94</v>
      </c>
      <c r="D10" s="71" t="s">
        <v>95</v>
      </c>
      <c r="E10" s="72" t="s">
        <v>96</v>
      </c>
      <c r="F10" s="73">
        <v>6</v>
      </c>
      <c r="G10" s="78">
        <v>394.76</v>
      </c>
      <c r="H10" s="79">
        <f aca="true" t="shared" si="1" ref="H10:H62">ROUND(G10*1.2423,2)</f>
        <v>490.41</v>
      </c>
      <c r="I10" s="80">
        <f aca="true" t="shared" si="2" ref="I10:I56">ROUND(H10*F10,2)</f>
        <v>2942.46</v>
      </c>
      <c r="J10" s="74"/>
      <c r="K10" s="85" t="s">
        <v>457</v>
      </c>
      <c r="M10" s="75"/>
      <c r="N10" s="76">
        <f t="shared" si="0"/>
        <v>2942.46</v>
      </c>
    </row>
    <row r="11" spans="1:14" ht="32.25" customHeight="1">
      <c r="A11" s="68" t="s">
        <v>13</v>
      </c>
      <c r="B11" s="69" t="s">
        <v>98</v>
      </c>
      <c r="C11" s="70" t="s">
        <v>99</v>
      </c>
      <c r="D11" s="71" t="s">
        <v>100</v>
      </c>
      <c r="E11" s="72" t="s">
        <v>101</v>
      </c>
      <c r="F11" s="73">
        <v>8</v>
      </c>
      <c r="G11" s="78">
        <v>865.04</v>
      </c>
      <c r="H11" s="79">
        <f t="shared" si="1"/>
        <v>1074.64</v>
      </c>
      <c r="I11" s="80">
        <f t="shared" si="2"/>
        <v>8597.12</v>
      </c>
      <c r="J11" s="74"/>
      <c r="K11" s="85" t="s">
        <v>360</v>
      </c>
      <c r="M11" s="75"/>
      <c r="N11" s="76">
        <f t="shared" si="0"/>
        <v>8597.12</v>
      </c>
    </row>
    <row r="12" spans="1:14" ht="34.5" customHeight="1">
      <c r="A12" s="68" t="s">
        <v>14</v>
      </c>
      <c r="B12" s="69" t="s">
        <v>98</v>
      </c>
      <c r="C12" s="70" t="s">
        <v>103</v>
      </c>
      <c r="D12" s="71" t="s">
        <v>104</v>
      </c>
      <c r="E12" s="72" t="s">
        <v>101</v>
      </c>
      <c r="F12" s="73">
        <v>8</v>
      </c>
      <c r="G12" s="78">
        <v>1092.87</v>
      </c>
      <c r="H12" s="79">
        <f t="shared" si="1"/>
        <v>1357.67</v>
      </c>
      <c r="I12" s="80">
        <f t="shared" si="2"/>
        <v>10861.36</v>
      </c>
      <c r="J12" s="74"/>
      <c r="K12" s="85" t="s">
        <v>360</v>
      </c>
      <c r="M12" s="75"/>
      <c r="N12" s="76">
        <f t="shared" si="0"/>
        <v>10861.36</v>
      </c>
    </row>
    <row r="13" spans="1:14" ht="21.75" customHeight="1">
      <c r="A13" s="62" t="s">
        <v>60</v>
      </c>
      <c r="B13" s="217" t="s">
        <v>76</v>
      </c>
      <c r="C13" s="218"/>
      <c r="D13" s="218"/>
      <c r="E13" s="218"/>
      <c r="F13" s="218"/>
      <c r="G13" s="218"/>
      <c r="H13" s="219"/>
      <c r="I13" s="63">
        <f>SUM(I14:I24)</f>
        <v>488613.99999999994</v>
      </c>
      <c r="J13" s="74"/>
      <c r="K13" s="85"/>
      <c r="M13" s="87">
        <f>I13</f>
        <v>488613.99999999994</v>
      </c>
      <c r="N13" s="76">
        <f t="shared" si="0"/>
        <v>0</v>
      </c>
    </row>
    <row r="14" spans="1:14" ht="24.75" customHeight="1">
      <c r="A14" s="68" t="s">
        <v>61</v>
      </c>
      <c r="B14" s="69" t="s">
        <v>98</v>
      </c>
      <c r="C14" s="70" t="s">
        <v>164</v>
      </c>
      <c r="D14" s="71" t="s">
        <v>165</v>
      </c>
      <c r="E14" s="72" t="s">
        <v>96</v>
      </c>
      <c r="F14" s="73">
        <v>126.31</v>
      </c>
      <c r="G14" s="78">
        <v>26.47</v>
      </c>
      <c r="H14" s="79">
        <f t="shared" si="1"/>
        <v>32.88</v>
      </c>
      <c r="I14" s="80">
        <f t="shared" si="2"/>
        <v>4153.07</v>
      </c>
      <c r="J14" s="74"/>
      <c r="K14" s="85" t="s">
        <v>361</v>
      </c>
      <c r="M14" s="75"/>
      <c r="N14" s="76">
        <f t="shared" si="0"/>
        <v>4153.07</v>
      </c>
    </row>
    <row r="15" spans="1:14" ht="40.5" customHeight="1">
      <c r="A15" s="68" t="s">
        <v>62</v>
      </c>
      <c r="B15" s="69" t="s">
        <v>97</v>
      </c>
      <c r="C15" s="70" t="s">
        <v>166</v>
      </c>
      <c r="D15" s="71" t="s">
        <v>167</v>
      </c>
      <c r="E15" s="72" t="s">
        <v>96</v>
      </c>
      <c r="F15" s="73">
        <v>392.64</v>
      </c>
      <c r="G15" s="78">
        <v>8.02</v>
      </c>
      <c r="H15" s="79">
        <f t="shared" si="1"/>
        <v>9.96</v>
      </c>
      <c r="I15" s="80">
        <f t="shared" si="2"/>
        <v>3910.69</v>
      </c>
      <c r="J15" s="74"/>
      <c r="K15" s="85" t="s">
        <v>362</v>
      </c>
      <c r="M15" s="75"/>
      <c r="N15" s="76">
        <f t="shared" si="0"/>
        <v>3910.69</v>
      </c>
    </row>
    <row r="16" spans="1:14" ht="30.75" customHeight="1">
      <c r="A16" s="68" t="s">
        <v>458</v>
      </c>
      <c r="B16" s="69" t="s">
        <v>98</v>
      </c>
      <c r="C16" s="70" t="s">
        <v>168</v>
      </c>
      <c r="D16" s="71" t="s">
        <v>169</v>
      </c>
      <c r="E16" s="72" t="s">
        <v>106</v>
      </c>
      <c r="F16" s="73">
        <v>2.8</v>
      </c>
      <c r="G16" s="78">
        <v>284.33</v>
      </c>
      <c r="H16" s="79">
        <f t="shared" si="1"/>
        <v>353.22</v>
      </c>
      <c r="I16" s="80">
        <f t="shared" si="2"/>
        <v>989.02</v>
      </c>
      <c r="J16" s="74"/>
      <c r="K16" s="85" t="s">
        <v>363</v>
      </c>
      <c r="M16" s="75"/>
      <c r="N16" s="76">
        <f t="shared" si="0"/>
        <v>989.02</v>
      </c>
    </row>
    <row r="17" spans="1:14" ht="24.75" customHeight="1">
      <c r="A17" s="68" t="s">
        <v>459</v>
      </c>
      <c r="B17" s="69" t="s">
        <v>98</v>
      </c>
      <c r="C17" s="70" t="s">
        <v>170</v>
      </c>
      <c r="D17" s="71" t="s">
        <v>171</v>
      </c>
      <c r="E17" s="72" t="s">
        <v>96</v>
      </c>
      <c r="F17" s="73">
        <v>1371.8</v>
      </c>
      <c r="G17" s="78">
        <v>4.52</v>
      </c>
      <c r="H17" s="79">
        <f t="shared" si="1"/>
        <v>5.62</v>
      </c>
      <c r="I17" s="80">
        <f t="shared" si="2"/>
        <v>7709.52</v>
      </c>
      <c r="J17" s="74"/>
      <c r="K17" s="85" t="s">
        <v>364</v>
      </c>
      <c r="M17" s="75"/>
      <c r="N17" s="76">
        <f t="shared" si="0"/>
        <v>7709.52</v>
      </c>
    </row>
    <row r="18" spans="1:14" ht="40.5" customHeight="1">
      <c r="A18" s="68" t="s">
        <v>460</v>
      </c>
      <c r="B18" s="69" t="s">
        <v>98</v>
      </c>
      <c r="C18" s="70" t="s">
        <v>172</v>
      </c>
      <c r="D18" s="71" t="s">
        <v>173</v>
      </c>
      <c r="E18" s="72" t="s">
        <v>106</v>
      </c>
      <c r="F18" s="73">
        <v>57.92</v>
      </c>
      <c r="G18" s="78">
        <v>758.52</v>
      </c>
      <c r="H18" s="79">
        <f t="shared" si="1"/>
        <v>942.31</v>
      </c>
      <c r="I18" s="80">
        <f t="shared" si="2"/>
        <v>54578.6</v>
      </c>
      <c r="J18" s="74"/>
      <c r="K18" s="85" t="s">
        <v>365</v>
      </c>
      <c r="M18" s="75"/>
      <c r="N18" s="76">
        <f t="shared" si="0"/>
        <v>54578.6</v>
      </c>
    </row>
    <row r="19" spans="1:14" ht="26.25" customHeight="1">
      <c r="A19" s="68" t="s">
        <v>461</v>
      </c>
      <c r="B19" s="69" t="s">
        <v>98</v>
      </c>
      <c r="C19" s="70" t="s">
        <v>174</v>
      </c>
      <c r="D19" s="71" t="s">
        <v>175</v>
      </c>
      <c r="E19" s="72" t="s">
        <v>96</v>
      </c>
      <c r="F19" s="73">
        <v>103.84</v>
      </c>
      <c r="G19" s="78">
        <v>54.39</v>
      </c>
      <c r="H19" s="79">
        <f t="shared" si="1"/>
        <v>67.57</v>
      </c>
      <c r="I19" s="80">
        <f t="shared" si="2"/>
        <v>7016.47</v>
      </c>
      <c r="J19" s="74"/>
      <c r="K19" s="85" t="s">
        <v>366</v>
      </c>
      <c r="M19" s="75"/>
      <c r="N19" s="76">
        <f t="shared" si="0"/>
        <v>7016.47</v>
      </c>
    </row>
    <row r="20" spans="1:14" ht="53.25" customHeight="1">
      <c r="A20" s="68" t="s">
        <v>462</v>
      </c>
      <c r="B20" s="69" t="s">
        <v>98</v>
      </c>
      <c r="C20" s="70" t="s">
        <v>176</v>
      </c>
      <c r="D20" s="71" t="s">
        <v>177</v>
      </c>
      <c r="E20" s="72" t="s">
        <v>96</v>
      </c>
      <c r="F20" s="73">
        <v>1914.22</v>
      </c>
      <c r="G20" s="78">
        <v>140.89</v>
      </c>
      <c r="H20" s="79">
        <f t="shared" si="1"/>
        <v>175.03</v>
      </c>
      <c r="I20" s="80">
        <f t="shared" si="2"/>
        <v>335045.93</v>
      </c>
      <c r="J20" s="74"/>
      <c r="K20" s="85" t="s">
        <v>367</v>
      </c>
      <c r="M20" s="75"/>
      <c r="N20" s="76">
        <f t="shared" si="0"/>
        <v>335045.93</v>
      </c>
    </row>
    <row r="21" spans="1:14" ht="51.75" customHeight="1">
      <c r="A21" s="68" t="s">
        <v>463</v>
      </c>
      <c r="B21" s="69" t="s">
        <v>98</v>
      </c>
      <c r="C21" s="70" t="s">
        <v>178</v>
      </c>
      <c r="D21" s="71" t="s">
        <v>179</v>
      </c>
      <c r="E21" s="72" t="s">
        <v>105</v>
      </c>
      <c r="F21" s="73">
        <v>1430.57</v>
      </c>
      <c r="G21" s="78">
        <v>29.18</v>
      </c>
      <c r="H21" s="79">
        <f t="shared" si="1"/>
        <v>36.25</v>
      </c>
      <c r="I21" s="80">
        <f t="shared" si="2"/>
        <v>51858.16</v>
      </c>
      <c r="J21" s="74"/>
      <c r="K21" s="85" t="s">
        <v>368</v>
      </c>
      <c r="M21" s="75"/>
      <c r="N21" s="76">
        <f t="shared" si="0"/>
        <v>51858.16</v>
      </c>
    </row>
    <row r="22" spans="1:14" ht="31.5" customHeight="1">
      <c r="A22" s="68" t="s">
        <v>464</v>
      </c>
      <c r="B22" s="69" t="s">
        <v>98</v>
      </c>
      <c r="C22" s="70" t="s">
        <v>180</v>
      </c>
      <c r="D22" s="71" t="s">
        <v>181</v>
      </c>
      <c r="E22" s="72" t="s">
        <v>105</v>
      </c>
      <c r="F22" s="73">
        <v>30.22</v>
      </c>
      <c r="G22" s="78">
        <v>157.25</v>
      </c>
      <c r="H22" s="79">
        <f t="shared" si="1"/>
        <v>195.35</v>
      </c>
      <c r="I22" s="80">
        <f t="shared" si="2"/>
        <v>5903.48</v>
      </c>
      <c r="J22" s="74"/>
      <c r="K22" s="85" t="s">
        <v>369</v>
      </c>
      <c r="M22" s="75"/>
      <c r="N22" s="76">
        <f t="shared" si="0"/>
        <v>5903.48</v>
      </c>
    </row>
    <row r="23" spans="1:14" ht="24.75" customHeight="1">
      <c r="A23" s="68" t="s">
        <v>465</v>
      </c>
      <c r="B23" s="69" t="s">
        <v>93</v>
      </c>
      <c r="C23" s="70">
        <v>138062</v>
      </c>
      <c r="D23" s="71" t="s">
        <v>182</v>
      </c>
      <c r="E23" s="72" t="s">
        <v>96</v>
      </c>
      <c r="F23" s="73">
        <v>12.42</v>
      </c>
      <c r="G23" s="78">
        <v>6.91</v>
      </c>
      <c r="H23" s="79">
        <f t="shared" si="1"/>
        <v>8.58</v>
      </c>
      <c r="I23" s="80">
        <f t="shared" si="2"/>
        <v>106.56</v>
      </c>
      <c r="J23" s="74"/>
      <c r="K23" s="85" t="s">
        <v>370</v>
      </c>
      <c r="M23" s="75"/>
      <c r="N23" s="76">
        <f t="shared" si="0"/>
        <v>106.56</v>
      </c>
    </row>
    <row r="24" spans="1:14" ht="41.25" customHeight="1">
      <c r="A24" s="68" t="s">
        <v>466</v>
      </c>
      <c r="B24" s="69" t="s">
        <v>98</v>
      </c>
      <c r="C24" s="70" t="s">
        <v>183</v>
      </c>
      <c r="D24" s="71" t="s">
        <v>184</v>
      </c>
      <c r="E24" s="72" t="s">
        <v>106</v>
      </c>
      <c r="F24" s="73">
        <v>117.29</v>
      </c>
      <c r="G24" s="78">
        <v>119.02</v>
      </c>
      <c r="H24" s="79">
        <f t="shared" si="1"/>
        <v>147.86</v>
      </c>
      <c r="I24" s="80">
        <f t="shared" si="2"/>
        <v>17342.5</v>
      </c>
      <c r="J24" s="74"/>
      <c r="K24" s="85" t="s">
        <v>371</v>
      </c>
      <c r="M24" s="75"/>
      <c r="N24" s="76">
        <f t="shared" si="0"/>
        <v>17342.5</v>
      </c>
    </row>
    <row r="25" spans="1:14" ht="21" customHeight="1">
      <c r="A25" s="62" t="s">
        <v>66</v>
      </c>
      <c r="B25" s="217" t="s">
        <v>88</v>
      </c>
      <c r="C25" s="218"/>
      <c r="D25" s="218"/>
      <c r="E25" s="218"/>
      <c r="F25" s="218"/>
      <c r="G25" s="218"/>
      <c r="H25" s="219"/>
      <c r="I25" s="63">
        <f>SUM(I26:I30)</f>
        <v>82849.32999999999</v>
      </c>
      <c r="J25" s="74"/>
      <c r="K25" s="85"/>
      <c r="M25" s="87">
        <f>I25</f>
        <v>82849.32999999999</v>
      </c>
      <c r="N25" s="76">
        <f t="shared" si="0"/>
        <v>0</v>
      </c>
    </row>
    <row r="26" spans="1:14" ht="39" customHeight="1">
      <c r="A26" s="68" t="s">
        <v>67</v>
      </c>
      <c r="B26" s="69" t="s">
        <v>97</v>
      </c>
      <c r="C26" s="70" t="s">
        <v>189</v>
      </c>
      <c r="D26" s="71" t="s">
        <v>190</v>
      </c>
      <c r="E26" s="72" t="s">
        <v>96</v>
      </c>
      <c r="F26" s="73">
        <v>284.43</v>
      </c>
      <c r="G26" s="78">
        <v>28.4</v>
      </c>
      <c r="H26" s="79">
        <f t="shared" si="1"/>
        <v>35.28</v>
      </c>
      <c r="I26" s="80">
        <f t="shared" si="2"/>
        <v>10034.69</v>
      </c>
      <c r="J26" s="74"/>
      <c r="K26" s="85" t="s">
        <v>372</v>
      </c>
      <c r="M26" s="75"/>
      <c r="N26" s="76">
        <f t="shared" si="0"/>
        <v>10034.69</v>
      </c>
    </row>
    <row r="27" spans="1:14" ht="24.75" customHeight="1">
      <c r="A27" s="68" t="s">
        <v>68</v>
      </c>
      <c r="B27" s="69" t="s">
        <v>98</v>
      </c>
      <c r="C27" s="70" t="s">
        <v>191</v>
      </c>
      <c r="D27" s="71" t="s">
        <v>192</v>
      </c>
      <c r="E27" s="72" t="s">
        <v>96</v>
      </c>
      <c r="F27" s="73">
        <v>284.43</v>
      </c>
      <c r="G27" s="78">
        <v>3.05</v>
      </c>
      <c r="H27" s="79">
        <f t="shared" si="1"/>
        <v>3.79</v>
      </c>
      <c r="I27" s="80">
        <f t="shared" si="2"/>
        <v>1077.99</v>
      </c>
      <c r="J27" s="74"/>
      <c r="K27" s="85" t="s">
        <v>372</v>
      </c>
      <c r="M27" s="75"/>
      <c r="N27" s="76">
        <f t="shared" si="0"/>
        <v>1077.99</v>
      </c>
    </row>
    <row r="28" spans="1:14" ht="30" customHeight="1">
      <c r="A28" s="68" t="s">
        <v>187</v>
      </c>
      <c r="B28" s="69" t="s">
        <v>98</v>
      </c>
      <c r="C28" s="70" t="s">
        <v>174</v>
      </c>
      <c r="D28" s="71" t="s">
        <v>175</v>
      </c>
      <c r="E28" s="72" t="s">
        <v>96</v>
      </c>
      <c r="F28" s="73">
        <v>284.43</v>
      </c>
      <c r="G28" s="78">
        <v>54.39</v>
      </c>
      <c r="H28" s="79">
        <f t="shared" si="1"/>
        <v>67.57</v>
      </c>
      <c r="I28" s="80">
        <f t="shared" si="2"/>
        <v>19218.94</v>
      </c>
      <c r="J28" s="74"/>
      <c r="K28" s="85" t="s">
        <v>372</v>
      </c>
      <c r="M28" s="75"/>
      <c r="N28" s="76">
        <f t="shared" si="0"/>
        <v>19218.94</v>
      </c>
    </row>
    <row r="29" spans="1:14" ht="49.5" customHeight="1">
      <c r="A29" s="68" t="s">
        <v>69</v>
      </c>
      <c r="B29" s="69" t="s">
        <v>98</v>
      </c>
      <c r="C29" s="70" t="s">
        <v>176</v>
      </c>
      <c r="D29" s="71" t="s">
        <v>177</v>
      </c>
      <c r="E29" s="72" t="s">
        <v>96</v>
      </c>
      <c r="F29" s="73">
        <v>284.43</v>
      </c>
      <c r="G29" s="78">
        <v>140.89</v>
      </c>
      <c r="H29" s="79">
        <f t="shared" si="1"/>
        <v>175.03</v>
      </c>
      <c r="I29" s="80">
        <f t="shared" si="2"/>
        <v>49783.78</v>
      </c>
      <c r="J29" s="74"/>
      <c r="K29" s="85" t="s">
        <v>372</v>
      </c>
      <c r="M29" s="75"/>
      <c r="N29" s="76">
        <f t="shared" si="0"/>
        <v>49783.78</v>
      </c>
    </row>
    <row r="30" spans="1:14" ht="39" customHeight="1">
      <c r="A30" s="68" t="s">
        <v>188</v>
      </c>
      <c r="B30" s="69" t="s">
        <v>98</v>
      </c>
      <c r="C30" s="70" t="s">
        <v>183</v>
      </c>
      <c r="D30" s="71" t="s">
        <v>184</v>
      </c>
      <c r="E30" s="72" t="s">
        <v>106</v>
      </c>
      <c r="F30" s="73">
        <v>18.49</v>
      </c>
      <c r="G30" s="78">
        <v>119.02</v>
      </c>
      <c r="H30" s="79">
        <f t="shared" si="1"/>
        <v>147.86</v>
      </c>
      <c r="I30" s="80">
        <f t="shared" si="2"/>
        <v>2733.93</v>
      </c>
      <c r="J30" s="74"/>
      <c r="K30" s="85" t="s">
        <v>373</v>
      </c>
      <c r="M30" s="75"/>
      <c r="N30" s="76">
        <f t="shared" si="0"/>
        <v>2733.93</v>
      </c>
    </row>
    <row r="31" spans="1:14" ht="24.75" customHeight="1">
      <c r="A31" s="62" t="s">
        <v>71</v>
      </c>
      <c r="B31" s="217" t="s">
        <v>193</v>
      </c>
      <c r="C31" s="218"/>
      <c r="D31" s="218"/>
      <c r="E31" s="218"/>
      <c r="F31" s="218"/>
      <c r="G31" s="218"/>
      <c r="H31" s="219"/>
      <c r="I31" s="63">
        <f>SUM(I32:I36)</f>
        <v>109512.42000000001</v>
      </c>
      <c r="J31" s="74"/>
      <c r="K31" s="85"/>
      <c r="M31" s="87">
        <f>I31</f>
        <v>109512.42000000001</v>
      </c>
      <c r="N31" s="76">
        <f t="shared" si="0"/>
        <v>0</v>
      </c>
    </row>
    <row r="32" spans="1:14" ht="24.75" customHeight="1">
      <c r="A32" s="68" t="s">
        <v>72</v>
      </c>
      <c r="B32" s="69" t="s">
        <v>98</v>
      </c>
      <c r="C32" s="70" t="s">
        <v>194</v>
      </c>
      <c r="D32" s="71" t="s">
        <v>195</v>
      </c>
      <c r="E32" s="72" t="s">
        <v>106</v>
      </c>
      <c r="F32" s="73">
        <v>1.12</v>
      </c>
      <c r="G32" s="78">
        <v>81.44</v>
      </c>
      <c r="H32" s="79">
        <f t="shared" si="1"/>
        <v>101.17</v>
      </c>
      <c r="I32" s="80">
        <f t="shared" si="2"/>
        <v>113.31</v>
      </c>
      <c r="J32" s="74"/>
      <c r="K32" s="85" t="s">
        <v>374</v>
      </c>
      <c r="M32" s="75"/>
      <c r="N32" s="76">
        <f t="shared" si="0"/>
        <v>113.31</v>
      </c>
    </row>
    <row r="33" spans="1:14" ht="24.75" customHeight="1">
      <c r="A33" s="68" t="s">
        <v>73</v>
      </c>
      <c r="B33" s="69" t="s">
        <v>98</v>
      </c>
      <c r="C33" s="70" t="s">
        <v>499</v>
      </c>
      <c r="D33" s="71" t="s">
        <v>500</v>
      </c>
      <c r="E33" s="72" t="s">
        <v>96</v>
      </c>
      <c r="F33" s="73">
        <v>88.55</v>
      </c>
      <c r="G33" s="78">
        <v>6.72</v>
      </c>
      <c r="H33" s="79">
        <f t="shared" si="1"/>
        <v>8.35</v>
      </c>
      <c r="I33" s="80">
        <f t="shared" si="2"/>
        <v>739.39</v>
      </c>
      <c r="J33" s="74"/>
      <c r="K33" s="85" t="s">
        <v>502</v>
      </c>
      <c r="M33" s="75"/>
      <c r="N33" s="76">
        <f t="shared" si="0"/>
        <v>739.39</v>
      </c>
    </row>
    <row r="34" spans="1:14" ht="24.75" customHeight="1">
      <c r="A34" s="68" t="s">
        <v>74</v>
      </c>
      <c r="B34" s="69" t="s">
        <v>98</v>
      </c>
      <c r="C34" s="70" t="s">
        <v>504</v>
      </c>
      <c r="D34" s="71" t="s">
        <v>505</v>
      </c>
      <c r="E34" s="72" t="s">
        <v>96</v>
      </c>
      <c r="F34" s="73">
        <v>88.55</v>
      </c>
      <c r="G34" s="78">
        <v>199.77</v>
      </c>
      <c r="H34" s="79">
        <f t="shared" si="1"/>
        <v>248.17</v>
      </c>
      <c r="I34" s="80">
        <f t="shared" si="2"/>
        <v>21975.45</v>
      </c>
      <c r="J34" s="74"/>
      <c r="K34" s="85" t="s">
        <v>502</v>
      </c>
      <c r="M34" s="75"/>
      <c r="N34" s="76">
        <f t="shared" si="0"/>
        <v>21975.45</v>
      </c>
    </row>
    <row r="35" spans="1:14" ht="39" customHeight="1">
      <c r="A35" s="68" t="s">
        <v>501</v>
      </c>
      <c r="B35" s="69" t="s">
        <v>98</v>
      </c>
      <c r="C35" s="70" t="s">
        <v>196</v>
      </c>
      <c r="D35" s="71" t="s">
        <v>197</v>
      </c>
      <c r="E35" s="72" t="s">
        <v>96</v>
      </c>
      <c r="F35" s="73">
        <v>92.26</v>
      </c>
      <c r="G35" s="78">
        <v>747.01</v>
      </c>
      <c r="H35" s="79">
        <f t="shared" si="1"/>
        <v>928.01</v>
      </c>
      <c r="I35" s="80">
        <f t="shared" si="2"/>
        <v>85618.2</v>
      </c>
      <c r="J35" s="74"/>
      <c r="K35" s="85" t="s">
        <v>375</v>
      </c>
      <c r="M35" s="75"/>
      <c r="N35" s="76">
        <f t="shared" si="0"/>
        <v>85618.2</v>
      </c>
    </row>
    <row r="36" spans="1:14" ht="40.5" customHeight="1">
      <c r="A36" s="68" t="s">
        <v>503</v>
      </c>
      <c r="B36" s="69" t="s">
        <v>98</v>
      </c>
      <c r="C36" s="70" t="s">
        <v>183</v>
      </c>
      <c r="D36" s="71" t="s">
        <v>184</v>
      </c>
      <c r="E36" s="72" t="s">
        <v>106</v>
      </c>
      <c r="F36" s="73">
        <v>7.21</v>
      </c>
      <c r="G36" s="78">
        <v>119.02</v>
      </c>
      <c r="H36" s="79">
        <f t="shared" si="1"/>
        <v>147.86</v>
      </c>
      <c r="I36" s="80">
        <f t="shared" si="2"/>
        <v>1066.07</v>
      </c>
      <c r="J36" s="74"/>
      <c r="K36" s="85" t="s">
        <v>516</v>
      </c>
      <c r="M36" s="75"/>
      <c r="N36" s="76">
        <f t="shared" si="0"/>
        <v>1066.07</v>
      </c>
    </row>
    <row r="37" spans="1:14" ht="20.25" customHeight="1">
      <c r="A37" s="62" t="s">
        <v>77</v>
      </c>
      <c r="B37" s="217" t="s">
        <v>198</v>
      </c>
      <c r="C37" s="218"/>
      <c r="D37" s="218"/>
      <c r="E37" s="218"/>
      <c r="F37" s="218"/>
      <c r="G37" s="218"/>
      <c r="H37" s="219"/>
      <c r="I37" s="63">
        <f>SUM(I38:I40)</f>
        <v>88204.59</v>
      </c>
      <c r="J37" s="74"/>
      <c r="K37" s="85"/>
      <c r="M37" s="87">
        <f>I37</f>
        <v>88204.59</v>
      </c>
      <c r="N37" s="76">
        <f t="shared" si="0"/>
        <v>0</v>
      </c>
    </row>
    <row r="38" spans="1:14" ht="24.75" customHeight="1">
      <c r="A38" s="68" t="s">
        <v>78</v>
      </c>
      <c r="B38" s="69" t="s">
        <v>98</v>
      </c>
      <c r="C38" s="70" t="s">
        <v>199</v>
      </c>
      <c r="D38" s="71" t="s">
        <v>200</v>
      </c>
      <c r="E38" s="72" t="s">
        <v>96</v>
      </c>
      <c r="F38" s="73">
        <v>343.98</v>
      </c>
      <c r="G38" s="78">
        <v>6.11</v>
      </c>
      <c r="H38" s="79">
        <f t="shared" si="1"/>
        <v>7.59</v>
      </c>
      <c r="I38" s="80">
        <f t="shared" si="2"/>
        <v>2610.81</v>
      </c>
      <c r="J38" s="74"/>
      <c r="K38" s="85" t="s">
        <v>376</v>
      </c>
      <c r="M38" s="75"/>
      <c r="N38" s="76">
        <f t="shared" si="0"/>
        <v>2610.81</v>
      </c>
    </row>
    <row r="39" spans="1:14" ht="38.25" customHeight="1">
      <c r="A39" s="68" t="s">
        <v>79</v>
      </c>
      <c r="B39" s="69" t="s">
        <v>98</v>
      </c>
      <c r="C39" s="70" t="s">
        <v>203</v>
      </c>
      <c r="D39" s="71" t="s">
        <v>204</v>
      </c>
      <c r="E39" s="72" t="s">
        <v>96</v>
      </c>
      <c r="F39" s="73">
        <v>641.5</v>
      </c>
      <c r="G39" s="78">
        <v>99.11</v>
      </c>
      <c r="H39" s="79">
        <f t="shared" si="1"/>
        <v>123.12</v>
      </c>
      <c r="I39" s="80">
        <f t="shared" si="2"/>
        <v>78981.48</v>
      </c>
      <c r="J39" s="74"/>
      <c r="K39" s="85" t="s">
        <v>377</v>
      </c>
      <c r="M39" s="75"/>
      <c r="N39" s="76">
        <f t="shared" si="0"/>
        <v>78981.48</v>
      </c>
    </row>
    <row r="40" spans="1:14" ht="40.5" customHeight="1">
      <c r="A40" s="68" t="s">
        <v>80</v>
      </c>
      <c r="B40" s="69" t="s">
        <v>98</v>
      </c>
      <c r="C40" s="70" t="s">
        <v>183</v>
      </c>
      <c r="D40" s="71" t="s">
        <v>184</v>
      </c>
      <c r="E40" s="72" t="s">
        <v>106</v>
      </c>
      <c r="F40" s="73">
        <v>44.72</v>
      </c>
      <c r="G40" s="78">
        <v>119.02</v>
      </c>
      <c r="H40" s="79">
        <f t="shared" si="1"/>
        <v>147.86</v>
      </c>
      <c r="I40" s="80">
        <f t="shared" si="2"/>
        <v>6612.3</v>
      </c>
      <c r="J40" s="74"/>
      <c r="K40" s="85" t="s">
        <v>378</v>
      </c>
      <c r="M40" s="75"/>
      <c r="N40" s="76">
        <f t="shared" si="0"/>
        <v>6612.3</v>
      </c>
    </row>
    <row r="41" spans="1:14" ht="25.5" customHeight="1">
      <c r="A41" s="62" t="s">
        <v>81</v>
      </c>
      <c r="B41" s="217" t="s">
        <v>89</v>
      </c>
      <c r="C41" s="218"/>
      <c r="D41" s="218"/>
      <c r="E41" s="218"/>
      <c r="F41" s="218"/>
      <c r="G41" s="218"/>
      <c r="H41" s="219"/>
      <c r="I41" s="63">
        <f>SUM(I42:I52)</f>
        <v>120243.87</v>
      </c>
      <c r="J41" s="74"/>
      <c r="K41" s="85"/>
      <c r="M41" s="87">
        <f>I41</f>
        <v>120243.87</v>
      </c>
      <c r="N41" s="76">
        <f t="shared" si="0"/>
        <v>0</v>
      </c>
    </row>
    <row r="42" spans="1:14" ht="39" customHeight="1">
      <c r="A42" s="68" t="s">
        <v>82</v>
      </c>
      <c r="B42" s="69" t="s">
        <v>93</v>
      </c>
      <c r="C42" s="70">
        <v>76001</v>
      </c>
      <c r="D42" s="71" t="s">
        <v>213</v>
      </c>
      <c r="E42" s="72" t="s">
        <v>110</v>
      </c>
      <c r="F42" s="73">
        <v>108</v>
      </c>
      <c r="G42" s="78">
        <v>14.26</v>
      </c>
      <c r="H42" s="79">
        <f t="shared" si="1"/>
        <v>17.72</v>
      </c>
      <c r="I42" s="80">
        <f t="shared" si="2"/>
        <v>1913.76</v>
      </c>
      <c r="J42" s="74"/>
      <c r="K42" s="85" t="s">
        <v>506</v>
      </c>
      <c r="M42" s="75"/>
      <c r="N42" s="76">
        <f t="shared" si="0"/>
        <v>1913.76</v>
      </c>
    </row>
    <row r="43" spans="1:14" ht="24.75" customHeight="1">
      <c r="A43" s="68" t="s">
        <v>83</v>
      </c>
      <c r="B43" s="69" t="s">
        <v>93</v>
      </c>
      <c r="C43" s="70">
        <v>76002</v>
      </c>
      <c r="D43" s="71" t="s">
        <v>214</v>
      </c>
      <c r="E43" s="72" t="s">
        <v>110</v>
      </c>
      <c r="F43" s="73">
        <v>108</v>
      </c>
      <c r="G43" s="78">
        <v>61.7</v>
      </c>
      <c r="H43" s="79">
        <f t="shared" si="1"/>
        <v>76.65</v>
      </c>
      <c r="I43" s="80">
        <f t="shared" si="2"/>
        <v>8278.2</v>
      </c>
      <c r="J43" s="74"/>
      <c r="K43" s="85" t="s">
        <v>506</v>
      </c>
      <c r="M43" s="75"/>
      <c r="N43" s="76">
        <f t="shared" si="0"/>
        <v>8278.2</v>
      </c>
    </row>
    <row r="44" spans="1:14" ht="25.5" customHeight="1">
      <c r="A44" s="68" t="s">
        <v>522</v>
      </c>
      <c r="B44" s="69" t="s">
        <v>215</v>
      </c>
      <c r="C44" s="70" t="s">
        <v>216</v>
      </c>
      <c r="D44" s="71" t="s">
        <v>217</v>
      </c>
      <c r="E44" s="72" t="s">
        <v>130</v>
      </c>
      <c r="F44" s="73">
        <v>170</v>
      </c>
      <c r="G44" s="78">
        <v>120.36</v>
      </c>
      <c r="H44" s="79">
        <f t="shared" si="1"/>
        <v>149.52</v>
      </c>
      <c r="I44" s="80">
        <f t="shared" si="2"/>
        <v>25418.4</v>
      </c>
      <c r="J44" s="74"/>
      <c r="K44" s="85" t="s">
        <v>379</v>
      </c>
      <c r="M44" s="75"/>
      <c r="N44" s="76">
        <f t="shared" si="0"/>
        <v>25418.4</v>
      </c>
    </row>
    <row r="45" spans="1:14" ht="21.75" customHeight="1">
      <c r="A45" s="68" t="s">
        <v>467</v>
      </c>
      <c r="B45" s="69" t="s">
        <v>98</v>
      </c>
      <c r="C45" s="70" t="s">
        <v>218</v>
      </c>
      <c r="D45" s="71" t="s">
        <v>219</v>
      </c>
      <c r="E45" s="72" t="s">
        <v>110</v>
      </c>
      <c r="F45" s="73">
        <v>2</v>
      </c>
      <c r="G45" s="78">
        <v>612.58</v>
      </c>
      <c r="H45" s="79">
        <f t="shared" si="1"/>
        <v>761.01</v>
      </c>
      <c r="I45" s="80">
        <f t="shared" si="2"/>
        <v>1522.02</v>
      </c>
      <c r="J45" s="74"/>
      <c r="K45" s="85" t="s">
        <v>511</v>
      </c>
      <c r="M45" s="75"/>
      <c r="N45" s="76">
        <f t="shared" si="0"/>
        <v>1522.02</v>
      </c>
    </row>
    <row r="46" spans="1:14" ht="45" customHeight="1">
      <c r="A46" s="68" t="s">
        <v>468</v>
      </c>
      <c r="B46" s="69" t="s">
        <v>98</v>
      </c>
      <c r="C46" s="70" t="s">
        <v>220</v>
      </c>
      <c r="D46" s="71" t="s">
        <v>221</v>
      </c>
      <c r="E46" s="72" t="s">
        <v>110</v>
      </c>
      <c r="F46" s="73">
        <v>7</v>
      </c>
      <c r="G46" s="78">
        <v>594.07</v>
      </c>
      <c r="H46" s="79">
        <f t="shared" si="1"/>
        <v>738.01</v>
      </c>
      <c r="I46" s="80">
        <f t="shared" si="2"/>
        <v>5166.07</v>
      </c>
      <c r="J46" s="74"/>
      <c r="K46" s="85" t="s">
        <v>514</v>
      </c>
      <c r="M46" s="75"/>
      <c r="N46" s="76">
        <f t="shared" si="0"/>
        <v>5166.07</v>
      </c>
    </row>
    <row r="47" spans="1:14" ht="43.5" customHeight="1">
      <c r="A47" s="68" t="s">
        <v>469</v>
      </c>
      <c r="B47" s="69" t="s">
        <v>98</v>
      </c>
      <c r="C47" s="70" t="s">
        <v>222</v>
      </c>
      <c r="D47" s="71" t="s">
        <v>223</v>
      </c>
      <c r="E47" s="72" t="s">
        <v>110</v>
      </c>
      <c r="F47" s="73">
        <v>92</v>
      </c>
      <c r="G47" s="78">
        <v>610.76</v>
      </c>
      <c r="H47" s="79">
        <f t="shared" si="1"/>
        <v>758.75</v>
      </c>
      <c r="I47" s="80">
        <f t="shared" si="2"/>
        <v>69805</v>
      </c>
      <c r="J47" s="74"/>
      <c r="K47" s="85" t="s">
        <v>513</v>
      </c>
      <c r="M47" s="75"/>
      <c r="N47" s="76">
        <f t="shared" si="0"/>
        <v>69805</v>
      </c>
    </row>
    <row r="48" spans="1:14" ht="65.25" customHeight="1">
      <c r="A48" s="68" t="s">
        <v>470</v>
      </c>
      <c r="B48" s="69" t="s">
        <v>98</v>
      </c>
      <c r="C48" s="70" t="s">
        <v>224</v>
      </c>
      <c r="D48" s="71" t="s">
        <v>225</v>
      </c>
      <c r="E48" s="72" t="s">
        <v>110</v>
      </c>
      <c r="F48" s="73">
        <v>2</v>
      </c>
      <c r="G48" s="78">
        <v>864.49</v>
      </c>
      <c r="H48" s="79">
        <f t="shared" si="1"/>
        <v>1073.96</v>
      </c>
      <c r="I48" s="80">
        <f t="shared" si="2"/>
        <v>2147.92</v>
      </c>
      <c r="J48" s="74"/>
      <c r="K48" s="85" t="s">
        <v>512</v>
      </c>
      <c r="M48" s="75"/>
      <c r="N48" s="76">
        <f t="shared" si="0"/>
        <v>2147.92</v>
      </c>
    </row>
    <row r="49" spans="1:14" ht="24.75" customHeight="1">
      <c r="A49" s="68" t="s">
        <v>471</v>
      </c>
      <c r="B49" s="69" t="s">
        <v>98</v>
      </c>
      <c r="C49" s="70" t="s">
        <v>226</v>
      </c>
      <c r="D49" s="71" t="s">
        <v>227</v>
      </c>
      <c r="E49" s="72" t="s">
        <v>96</v>
      </c>
      <c r="F49" s="73">
        <v>1.89</v>
      </c>
      <c r="G49" s="78">
        <v>522.62</v>
      </c>
      <c r="H49" s="79">
        <f t="shared" si="1"/>
        <v>649.25</v>
      </c>
      <c r="I49" s="80">
        <f t="shared" si="2"/>
        <v>1227.08</v>
      </c>
      <c r="J49" s="74"/>
      <c r="K49" s="85" t="s">
        <v>380</v>
      </c>
      <c r="M49" s="75"/>
      <c r="N49" s="76">
        <f t="shared" si="0"/>
        <v>1227.08</v>
      </c>
    </row>
    <row r="50" spans="1:14" ht="34.5" customHeight="1">
      <c r="A50" s="68" t="s">
        <v>472</v>
      </c>
      <c r="B50" s="69" t="s">
        <v>93</v>
      </c>
      <c r="C50" s="70" t="s">
        <v>228</v>
      </c>
      <c r="D50" s="71" t="s">
        <v>229</v>
      </c>
      <c r="E50" s="72" t="s">
        <v>110</v>
      </c>
      <c r="F50" s="73">
        <v>1</v>
      </c>
      <c r="G50" s="78">
        <v>917.81</v>
      </c>
      <c r="H50" s="79">
        <f t="shared" si="1"/>
        <v>1140.2</v>
      </c>
      <c r="I50" s="80">
        <f t="shared" si="2"/>
        <v>1140.2</v>
      </c>
      <c r="J50" s="74"/>
      <c r="K50" s="85" t="s">
        <v>381</v>
      </c>
      <c r="M50" s="75"/>
      <c r="N50" s="76">
        <f t="shared" si="0"/>
        <v>1140.2</v>
      </c>
    </row>
    <row r="51" spans="1:14" ht="34.5" customHeight="1">
      <c r="A51" s="68" t="s">
        <v>473</v>
      </c>
      <c r="B51" s="69" t="s">
        <v>93</v>
      </c>
      <c r="C51" s="70" t="s">
        <v>230</v>
      </c>
      <c r="D51" s="71" t="s">
        <v>231</v>
      </c>
      <c r="E51" s="72" t="s">
        <v>110</v>
      </c>
      <c r="F51" s="73">
        <v>1</v>
      </c>
      <c r="G51" s="78">
        <v>820.23</v>
      </c>
      <c r="H51" s="79">
        <f>ROUND(G51*1.2423,2)</f>
        <v>1018.97</v>
      </c>
      <c r="I51" s="80">
        <f>ROUND(H51*F51,2)</f>
        <v>1018.97</v>
      </c>
      <c r="J51" s="74"/>
      <c r="K51" s="85" t="s">
        <v>382</v>
      </c>
      <c r="M51" s="75"/>
      <c r="N51" s="76">
        <f>ROUND(F51*H51,2)</f>
        <v>1018.97</v>
      </c>
    </row>
    <row r="52" spans="1:14" ht="37.5" customHeight="1">
      <c r="A52" s="68" t="s">
        <v>484</v>
      </c>
      <c r="B52" s="69" t="s">
        <v>98</v>
      </c>
      <c r="C52" s="70" t="s">
        <v>485</v>
      </c>
      <c r="D52" s="71" t="s">
        <v>486</v>
      </c>
      <c r="E52" s="72" t="s">
        <v>109</v>
      </c>
      <c r="F52" s="73">
        <v>3</v>
      </c>
      <c r="G52" s="78">
        <v>699.31</v>
      </c>
      <c r="H52" s="79">
        <f t="shared" si="1"/>
        <v>868.75</v>
      </c>
      <c r="I52" s="80">
        <f t="shared" si="2"/>
        <v>2606.25</v>
      </c>
      <c r="J52" s="74"/>
      <c r="K52" s="85" t="s">
        <v>498</v>
      </c>
      <c r="M52" s="75"/>
      <c r="N52" s="76">
        <f t="shared" si="0"/>
        <v>2606.25</v>
      </c>
    </row>
    <row r="53" spans="1:14" ht="23.25" customHeight="1">
      <c r="A53" s="62" t="s">
        <v>84</v>
      </c>
      <c r="B53" s="217" t="s">
        <v>90</v>
      </c>
      <c r="C53" s="218"/>
      <c r="D53" s="218"/>
      <c r="E53" s="218"/>
      <c r="F53" s="218"/>
      <c r="G53" s="218"/>
      <c r="H53" s="219"/>
      <c r="I53" s="63">
        <f>SUM(I54:I70)</f>
        <v>39376.06</v>
      </c>
      <c r="J53" s="74"/>
      <c r="K53" s="85"/>
      <c r="M53" s="87">
        <f>I53</f>
        <v>39376.06</v>
      </c>
      <c r="N53" s="76">
        <f>ROUND(F53*H53,2)</f>
        <v>0</v>
      </c>
    </row>
    <row r="54" spans="1:14" ht="30.75" customHeight="1">
      <c r="A54" s="68" t="s">
        <v>85</v>
      </c>
      <c r="B54" s="69" t="s">
        <v>98</v>
      </c>
      <c r="C54" s="70" t="s">
        <v>248</v>
      </c>
      <c r="D54" s="71" t="s">
        <v>249</v>
      </c>
      <c r="E54" s="72" t="s">
        <v>110</v>
      </c>
      <c r="F54" s="73">
        <v>38</v>
      </c>
      <c r="G54" s="78">
        <v>44.54</v>
      </c>
      <c r="H54" s="79">
        <f t="shared" si="1"/>
        <v>55.33</v>
      </c>
      <c r="I54" s="80">
        <f t="shared" si="2"/>
        <v>2102.54</v>
      </c>
      <c r="J54" s="74"/>
      <c r="K54" s="85" t="s">
        <v>383</v>
      </c>
      <c r="M54" s="75"/>
      <c r="N54" s="76">
        <f t="shared" si="0"/>
        <v>2102.54</v>
      </c>
    </row>
    <row r="55" spans="1:14" ht="63" customHeight="1">
      <c r="A55" s="68" t="s">
        <v>86</v>
      </c>
      <c r="B55" s="69" t="s">
        <v>97</v>
      </c>
      <c r="C55" s="70" t="s">
        <v>250</v>
      </c>
      <c r="D55" s="71" t="s">
        <v>251</v>
      </c>
      <c r="E55" s="72" t="s">
        <v>110</v>
      </c>
      <c r="F55" s="73">
        <v>16</v>
      </c>
      <c r="G55" s="78">
        <v>303.93</v>
      </c>
      <c r="H55" s="79">
        <f t="shared" si="1"/>
        <v>377.57</v>
      </c>
      <c r="I55" s="80">
        <f t="shared" si="2"/>
        <v>6041.12</v>
      </c>
      <c r="J55" s="74"/>
      <c r="K55" s="85" t="s">
        <v>384</v>
      </c>
      <c r="M55" s="75"/>
      <c r="N55" s="76">
        <f t="shared" si="0"/>
        <v>6041.12</v>
      </c>
    </row>
    <row r="56" spans="1:14" ht="39" customHeight="1">
      <c r="A56" s="68" t="s">
        <v>87</v>
      </c>
      <c r="B56" s="69" t="s">
        <v>93</v>
      </c>
      <c r="C56" s="70" t="s">
        <v>111</v>
      </c>
      <c r="D56" s="71" t="s">
        <v>112</v>
      </c>
      <c r="E56" s="72" t="s">
        <v>110</v>
      </c>
      <c r="F56" s="73">
        <v>6</v>
      </c>
      <c r="G56" s="78">
        <v>920.5</v>
      </c>
      <c r="H56" s="79">
        <f t="shared" si="1"/>
        <v>1143.54</v>
      </c>
      <c r="I56" s="80">
        <f t="shared" si="2"/>
        <v>6861.24</v>
      </c>
      <c r="J56" s="74"/>
      <c r="K56" s="85" t="s">
        <v>127</v>
      </c>
      <c r="M56" s="75"/>
      <c r="N56" s="76">
        <f t="shared" si="0"/>
        <v>6861.24</v>
      </c>
    </row>
    <row r="57" spans="1:14" ht="39.75" customHeight="1">
      <c r="A57" s="68" t="s">
        <v>205</v>
      </c>
      <c r="B57" s="69" t="s">
        <v>97</v>
      </c>
      <c r="C57" s="70" t="s">
        <v>118</v>
      </c>
      <c r="D57" s="71" t="s">
        <v>119</v>
      </c>
      <c r="E57" s="72" t="s">
        <v>110</v>
      </c>
      <c r="F57" s="73">
        <v>3</v>
      </c>
      <c r="G57" s="78">
        <v>711.22</v>
      </c>
      <c r="H57" s="79">
        <f t="shared" si="1"/>
        <v>883.55</v>
      </c>
      <c r="I57" s="80">
        <f aca="true" t="shared" si="3" ref="I57:I62">ROUND(H57*F57,2)</f>
        <v>2650.65</v>
      </c>
      <c r="J57" s="74"/>
      <c r="K57" s="85" t="s">
        <v>385</v>
      </c>
      <c r="M57" s="75"/>
      <c r="N57" s="76">
        <f t="shared" si="0"/>
        <v>2650.65</v>
      </c>
    </row>
    <row r="58" spans="1:14" ht="33.75" customHeight="1">
      <c r="A58" s="68" t="s">
        <v>206</v>
      </c>
      <c r="B58" s="57" t="s">
        <v>97</v>
      </c>
      <c r="C58" s="57" t="s">
        <v>113</v>
      </c>
      <c r="D58" s="58" t="s">
        <v>114</v>
      </c>
      <c r="E58" s="57" t="s">
        <v>110</v>
      </c>
      <c r="F58" s="56">
        <v>22</v>
      </c>
      <c r="G58" s="81">
        <v>48.07</v>
      </c>
      <c r="H58" s="79">
        <f t="shared" si="1"/>
        <v>59.72</v>
      </c>
      <c r="I58" s="80">
        <f t="shared" si="3"/>
        <v>1313.84</v>
      </c>
      <c r="J58" s="13"/>
      <c r="K58" s="85" t="s">
        <v>386</v>
      </c>
      <c r="M58" s="75"/>
      <c r="N58" s="76">
        <f t="shared" si="0"/>
        <v>1313.84</v>
      </c>
    </row>
    <row r="59" spans="1:60" ht="37.5" customHeight="1">
      <c r="A59" s="68" t="s">
        <v>207</v>
      </c>
      <c r="B59" s="57" t="s">
        <v>98</v>
      </c>
      <c r="C59" s="57" t="s">
        <v>252</v>
      </c>
      <c r="D59" s="58" t="s">
        <v>253</v>
      </c>
      <c r="E59" s="57" t="s">
        <v>105</v>
      </c>
      <c r="F59" s="56">
        <v>23.2</v>
      </c>
      <c r="G59" s="81">
        <v>195.47</v>
      </c>
      <c r="H59" s="79">
        <f t="shared" si="1"/>
        <v>242.83</v>
      </c>
      <c r="I59" s="80">
        <f t="shared" si="3"/>
        <v>5633.66</v>
      </c>
      <c r="J59" s="13"/>
      <c r="K59" s="55" t="s">
        <v>515</v>
      </c>
      <c r="L59" s="10"/>
      <c r="M59" s="75"/>
      <c r="N59" s="76">
        <f t="shared" si="0"/>
        <v>5633.66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28.5" customHeight="1">
      <c r="A60" s="68" t="s">
        <v>208</v>
      </c>
      <c r="B60" s="57" t="s">
        <v>98</v>
      </c>
      <c r="C60" s="57" t="s">
        <v>254</v>
      </c>
      <c r="D60" s="58" t="s">
        <v>255</v>
      </c>
      <c r="E60" s="57" t="s">
        <v>110</v>
      </c>
      <c r="F60" s="56">
        <v>12</v>
      </c>
      <c r="G60" s="81">
        <v>166.53</v>
      </c>
      <c r="H60" s="79">
        <f t="shared" si="1"/>
        <v>206.88</v>
      </c>
      <c r="I60" s="80">
        <f t="shared" si="3"/>
        <v>2482.56</v>
      </c>
      <c r="J60" s="13"/>
      <c r="K60" s="55" t="s">
        <v>387</v>
      </c>
      <c r="L60" s="10"/>
      <c r="M60" s="75"/>
      <c r="N60" s="76">
        <f t="shared" si="0"/>
        <v>2482.56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spans="1:60" ht="25.5" customHeight="1">
      <c r="A61" s="68" t="s">
        <v>209</v>
      </c>
      <c r="B61" s="57" t="s">
        <v>98</v>
      </c>
      <c r="C61" s="57" t="s">
        <v>256</v>
      </c>
      <c r="D61" s="58" t="s">
        <v>257</v>
      </c>
      <c r="E61" s="57" t="s">
        <v>110</v>
      </c>
      <c r="F61" s="56">
        <v>15</v>
      </c>
      <c r="G61" s="81">
        <v>38.93</v>
      </c>
      <c r="H61" s="79">
        <f t="shared" si="1"/>
        <v>48.36</v>
      </c>
      <c r="I61" s="80">
        <f t="shared" si="3"/>
        <v>725.4</v>
      </c>
      <c r="J61" s="13"/>
      <c r="K61" s="55" t="s">
        <v>388</v>
      </c>
      <c r="L61" s="10"/>
      <c r="M61" s="75"/>
      <c r="N61" s="76">
        <f t="shared" si="0"/>
        <v>725.4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</row>
    <row r="62" spans="1:60" ht="36.75" customHeight="1">
      <c r="A62" s="68" t="s">
        <v>210</v>
      </c>
      <c r="B62" s="57" t="s">
        <v>98</v>
      </c>
      <c r="C62" s="57" t="s">
        <v>258</v>
      </c>
      <c r="D62" s="58" t="s">
        <v>259</v>
      </c>
      <c r="E62" s="57" t="s">
        <v>110</v>
      </c>
      <c r="F62" s="56">
        <v>10</v>
      </c>
      <c r="G62" s="81">
        <v>162.15</v>
      </c>
      <c r="H62" s="79">
        <f t="shared" si="1"/>
        <v>201.44</v>
      </c>
      <c r="I62" s="80">
        <f t="shared" si="3"/>
        <v>2014.4</v>
      </c>
      <c r="J62" s="13"/>
      <c r="K62" s="55" t="s">
        <v>389</v>
      </c>
      <c r="L62" s="10"/>
      <c r="M62" s="75"/>
      <c r="N62" s="76">
        <f t="shared" si="0"/>
        <v>2014.4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</row>
    <row r="63" spans="1:60" ht="30" customHeight="1">
      <c r="A63" s="68" t="s">
        <v>211</v>
      </c>
      <c r="B63" s="57" t="s">
        <v>98</v>
      </c>
      <c r="C63" s="57" t="s">
        <v>117</v>
      </c>
      <c r="D63" s="58" t="s">
        <v>260</v>
      </c>
      <c r="E63" s="57" t="s">
        <v>110</v>
      </c>
      <c r="F63" s="56">
        <v>2</v>
      </c>
      <c r="G63" s="81">
        <v>352.38</v>
      </c>
      <c r="H63" s="82">
        <f aca="true" t="shared" si="4" ref="H63:H111">ROUND(G63*1.2423,2)</f>
        <v>437.76</v>
      </c>
      <c r="I63" s="80">
        <f aca="true" t="shared" si="5" ref="I63:I111">ROUND(H63*F63,2)</f>
        <v>875.52</v>
      </c>
      <c r="J63" s="13"/>
      <c r="K63" s="55" t="s">
        <v>128</v>
      </c>
      <c r="L63" s="10"/>
      <c r="M63" s="75"/>
      <c r="N63" s="76">
        <f t="shared" si="0"/>
        <v>875.52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</row>
    <row r="64" spans="1:60" ht="45" customHeight="1">
      <c r="A64" s="68" t="s">
        <v>474</v>
      </c>
      <c r="B64" s="57" t="s">
        <v>97</v>
      </c>
      <c r="C64" s="57" t="s">
        <v>120</v>
      </c>
      <c r="D64" s="58" t="s">
        <v>121</v>
      </c>
      <c r="E64" s="57" t="s">
        <v>110</v>
      </c>
      <c r="F64" s="56">
        <v>3</v>
      </c>
      <c r="G64" s="81">
        <v>81.06</v>
      </c>
      <c r="H64" s="82">
        <f t="shared" si="4"/>
        <v>100.7</v>
      </c>
      <c r="I64" s="80">
        <f t="shared" si="5"/>
        <v>302.1</v>
      </c>
      <c r="J64" s="13"/>
      <c r="K64" s="55" t="s">
        <v>385</v>
      </c>
      <c r="L64" s="10"/>
      <c r="M64" s="75"/>
      <c r="N64" s="76">
        <f t="shared" si="0"/>
        <v>302.1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</row>
    <row r="65" spans="1:60" ht="29.25" customHeight="1">
      <c r="A65" s="68" t="s">
        <v>475</v>
      </c>
      <c r="B65" s="57" t="s">
        <v>98</v>
      </c>
      <c r="C65" s="57" t="s">
        <v>261</v>
      </c>
      <c r="D65" s="58" t="s">
        <v>262</v>
      </c>
      <c r="E65" s="57" t="s">
        <v>110</v>
      </c>
      <c r="F65" s="56">
        <v>3</v>
      </c>
      <c r="G65" s="81">
        <v>72.57</v>
      </c>
      <c r="H65" s="82">
        <f t="shared" si="4"/>
        <v>90.15</v>
      </c>
      <c r="I65" s="80">
        <f t="shared" si="5"/>
        <v>270.45</v>
      </c>
      <c r="J65" s="13"/>
      <c r="K65" s="55" t="s">
        <v>385</v>
      </c>
      <c r="L65" s="10"/>
      <c r="M65" s="75"/>
      <c r="N65" s="76">
        <f t="shared" si="0"/>
        <v>270.45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</row>
    <row r="66" spans="1:60" ht="24.75" customHeight="1">
      <c r="A66" s="68" t="s">
        <v>476</v>
      </c>
      <c r="B66" s="57" t="s">
        <v>98</v>
      </c>
      <c r="C66" s="57" t="s">
        <v>263</v>
      </c>
      <c r="D66" s="58" t="s">
        <v>264</v>
      </c>
      <c r="E66" s="57" t="s">
        <v>110</v>
      </c>
      <c r="F66" s="56">
        <v>3</v>
      </c>
      <c r="G66" s="81">
        <v>526.01</v>
      </c>
      <c r="H66" s="82">
        <f t="shared" si="4"/>
        <v>653.46</v>
      </c>
      <c r="I66" s="80">
        <f t="shared" si="5"/>
        <v>1960.38</v>
      </c>
      <c r="J66" s="13"/>
      <c r="K66" s="55" t="s">
        <v>385</v>
      </c>
      <c r="L66" s="10"/>
      <c r="M66" s="75"/>
      <c r="N66" s="76">
        <f t="shared" si="0"/>
        <v>1960.38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</row>
    <row r="67" spans="1:60" ht="37.5" customHeight="1">
      <c r="A67" s="68" t="s">
        <v>477</v>
      </c>
      <c r="B67" s="57" t="s">
        <v>98</v>
      </c>
      <c r="C67" s="57" t="s">
        <v>115</v>
      </c>
      <c r="D67" s="58" t="s">
        <v>116</v>
      </c>
      <c r="E67" s="57" t="s">
        <v>110</v>
      </c>
      <c r="F67" s="56">
        <v>22</v>
      </c>
      <c r="G67" s="81">
        <v>79.79</v>
      </c>
      <c r="H67" s="82">
        <f t="shared" si="4"/>
        <v>99.12</v>
      </c>
      <c r="I67" s="80">
        <f t="shared" si="5"/>
        <v>2180.64</v>
      </c>
      <c r="J67" s="13"/>
      <c r="K67" s="55" t="s">
        <v>386</v>
      </c>
      <c r="L67" s="10"/>
      <c r="M67" s="75"/>
      <c r="N67" s="76">
        <f t="shared" si="0"/>
        <v>2180.64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</row>
    <row r="68" spans="1:60" ht="27.75" customHeight="1">
      <c r="A68" s="68" t="s">
        <v>478</v>
      </c>
      <c r="B68" s="57" t="s">
        <v>98</v>
      </c>
      <c r="C68" s="57" t="s">
        <v>265</v>
      </c>
      <c r="D68" s="58" t="s">
        <v>266</v>
      </c>
      <c r="E68" s="57" t="s">
        <v>110</v>
      </c>
      <c r="F68" s="56">
        <v>12</v>
      </c>
      <c r="G68" s="81">
        <v>64.95</v>
      </c>
      <c r="H68" s="82">
        <f t="shared" si="4"/>
        <v>80.69</v>
      </c>
      <c r="I68" s="80">
        <f t="shared" si="5"/>
        <v>968.28</v>
      </c>
      <c r="J68" s="13"/>
      <c r="K68" s="55" t="s">
        <v>387</v>
      </c>
      <c r="L68" s="10"/>
      <c r="M68" s="75"/>
      <c r="N68" s="76">
        <f t="shared" si="0"/>
        <v>968.28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spans="1:60" ht="25.5" customHeight="1">
      <c r="A69" s="68" t="s">
        <v>479</v>
      </c>
      <c r="B69" s="57" t="s">
        <v>98</v>
      </c>
      <c r="C69" s="57" t="s">
        <v>267</v>
      </c>
      <c r="D69" s="58" t="s">
        <v>268</v>
      </c>
      <c r="E69" s="57" t="s">
        <v>110</v>
      </c>
      <c r="F69" s="56">
        <v>12</v>
      </c>
      <c r="G69" s="81">
        <v>81.77</v>
      </c>
      <c r="H69" s="82">
        <f t="shared" si="4"/>
        <v>101.58</v>
      </c>
      <c r="I69" s="80">
        <f t="shared" si="5"/>
        <v>1218.96</v>
      </c>
      <c r="J69" s="13"/>
      <c r="K69" s="55" t="s">
        <v>387</v>
      </c>
      <c r="L69" s="10"/>
      <c r="M69" s="75"/>
      <c r="N69" s="76">
        <f aca="true" t="shared" si="6" ref="N69:N120">ROUND(F69*H69,2)</f>
        <v>1218.96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</row>
    <row r="70" spans="1:60" ht="48.75" customHeight="1">
      <c r="A70" s="68" t="s">
        <v>480</v>
      </c>
      <c r="B70" s="57" t="s">
        <v>98</v>
      </c>
      <c r="C70" s="57" t="s">
        <v>183</v>
      </c>
      <c r="D70" s="58" t="s">
        <v>184</v>
      </c>
      <c r="E70" s="57" t="s">
        <v>106</v>
      </c>
      <c r="F70" s="56">
        <v>12</v>
      </c>
      <c r="G70" s="81">
        <v>119.02</v>
      </c>
      <c r="H70" s="82">
        <f t="shared" si="4"/>
        <v>147.86</v>
      </c>
      <c r="I70" s="80">
        <f t="shared" si="5"/>
        <v>1774.32</v>
      </c>
      <c r="J70" s="13"/>
      <c r="K70" s="55" t="s">
        <v>390</v>
      </c>
      <c r="L70" s="10"/>
      <c r="M70" s="75"/>
      <c r="N70" s="76">
        <f t="shared" si="6"/>
        <v>1774.32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</row>
    <row r="71" spans="1:60" ht="22.5" customHeight="1">
      <c r="A71" s="62" t="s">
        <v>212</v>
      </c>
      <c r="B71" s="217" t="s">
        <v>269</v>
      </c>
      <c r="C71" s="218"/>
      <c r="D71" s="218"/>
      <c r="E71" s="218"/>
      <c r="F71" s="218"/>
      <c r="G71" s="218"/>
      <c r="H71" s="219"/>
      <c r="I71" s="63">
        <f>SUM(I72:I90)</f>
        <v>214673.04999999996</v>
      </c>
      <c r="J71" s="13"/>
      <c r="K71" s="55"/>
      <c r="L71" s="10"/>
      <c r="M71" s="87">
        <f>I71</f>
        <v>214673.04999999996</v>
      </c>
      <c r="N71" s="76">
        <f t="shared" si="6"/>
        <v>0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</row>
    <row r="72" spans="1:60" ht="38.25" customHeight="1">
      <c r="A72" s="59" t="s">
        <v>186</v>
      </c>
      <c r="B72" s="57" t="s">
        <v>98</v>
      </c>
      <c r="C72" s="57" t="s">
        <v>284</v>
      </c>
      <c r="D72" s="58" t="s">
        <v>285</v>
      </c>
      <c r="E72" s="57" t="s">
        <v>105</v>
      </c>
      <c r="F72" s="56">
        <v>930</v>
      </c>
      <c r="G72" s="81">
        <v>12.24</v>
      </c>
      <c r="H72" s="82">
        <f t="shared" si="4"/>
        <v>15.21</v>
      </c>
      <c r="I72" s="80">
        <f t="shared" si="5"/>
        <v>14145.3</v>
      </c>
      <c r="J72" s="13"/>
      <c r="K72" s="55" t="s">
        <v>391</v>
      </c>
      <c r="L72" s="10"/>
      <c r="M72" s="75"/>
      <c r="N72" s="76">
        <f t="shared" si="6"/>
        <v>14145.3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</row>
    <row r="73" spans="1:60" ht="45.75" customHeight="1">
      <c r="A73" s="59" t="s">
        <v>185</v>
      </c>
      <c r="B73" s="57" t="s">
        <v>98</v>
      </c>
      <c r="C73" s="57" t="s">
        <v>286</v>
      </c>
      <c r="D73" s="58" t="s">
        <v>287</v>
      </c>
      <c r="E73" s="57" t="s">
        <v>105</v>
      </c>
      <c r="F73" s="56">
        <v>90</v>
      </c>
      <c r="G73" s="81">
        <v>75.74</v>
      </c>
      <c r="H73" s="82">
        <f t="shared" si="4"/>
        <v>94.09</v>
      </c>
      <c r="I73" s="80">
        <f t="shared" si="5"/>
        <v>8468.1</v>
      </c>
      <c r="J73" s="13"/>
      <c r="K73" s="55" t="s">
        <v>392</v>
      </c>
      <c r="L73" s="10"/>
      <c r="M73" s="75"/>
      <c r="N73" s="76">
        <f t="shared" si="6"/>
        <v>8468.1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</row>
    <row r="74" spans="1:60" ht="36" customHeight="1">
      <c r="A74" s="59" t="s">
        <v>233</v>
      </c>
      <c r="B74" s="57" t="s">
        <v>98</v>
      </c>
      <c r="C74" s="57" t="s">
        <v>288</v>
      </c>
      <c r="D74" s="58" t="s">
        <v>289</v>
      </c>
      <c r="E74" s="57" t="s">
        <v>105</v>
      </c>
      <c r="F74" s="56">
        <v>270</v>
      </c>
      <c r="G74" s="81">
        <v>113.88</v>
      </c>
      <c r="H74" s="82">
        <f t="shared" si="4"/>
        <v>141.47</v>
      </c>
      <c r="I74" s="80">
        <f t="shared" si="5"/>
        <v>38196.9</v>
      </c>
      <c r="J74" s="13"/>
      <c r="K74" s="55" t="s">
        <v>393</v>
      </c>
      <c r="L74" s="10"/>
      <c r="M74" s="75"/>
      <c r="N74" s="76">
        <f t="shared" si="6"/>
        <v>38196.9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1:60" ht="78" customHeight="1">
      <c r="A75" s="59" t="s">
        <v>234</v>
      </c>
      <c r="B75" s="57" t="s">
        <v>97</v>
      </c>
      <c r="C75" s="57" t="s">
        <v>290</v>
      </c>
      <c r="D75" s="58" t="s">
        <v>291</v>
      </c>
      <c r="E75" s="57" t="s">
        <v>110</v>
      </c>
      <c r="F75" s="56">
        <v>1</v>
      </c>
      <c r="G75" s="81">
        <v>1271.42</v>
      </c>
      <c r="H75" s="82">
        <f t="shared" si="4"/>
        <v>1579.49</v>
      </c>
      <c r="I75" s="80">
        <f t="shared" si="5"/>
        <v>1579.49</v>
      </c>
      <c r="J75" s="13"/>
      <c r="K75" s="55" t="s">
        <v>394</v>
      </c>
      <c r="L75" s="10"/>
      <c r="M75" s="75"/>
      <c r="N75" s="76">
        <f t="shared" si="6"/>
        <v>1579.49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6" spans="1:60" ht="33" customHeight="1">
      <c r="A76" s="59" t="s">
        <v>235</v>
      </c>
      <c r="B76" s="57" t="s">
        <v>98</v>
      </c>
      <c r="C76" s="57" t="s">
        <v>292</v>
      </c>
      <c r="D76" s="58" t="s">
        <v>293</v>
      </c>
      <c r="E76" s="57" t="s">
        <v>110</v>
      </c>
      <c r="F76" s="56">
        <v>2</v>
      </c>
      <c r="G76" s="81">
        <v>200.31</v>
      </c>
      <c r="H76" s="82">
        <f t="shared" si="4"/>
        <v>248.85</v>
      </c>
      <c r="I76" s="80">
        <f t="shared" si="5"/>
        <v>497.7</v>
      </c>
      <c r="J76" s="13"/>
      <c r="K76" s="55" t="s">
        <v>395</v>
      </c>
      <c r="L76" s="10"/>
      <c r="M76" s="75"/>
      <c r="N76" s="76">
        <f t="shared" si="6"/>
        <v>497.7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</row>
    <row r="77" spans="1:60" ht="33" customHeight="1">
      <c r="A77" s="59" t="s">
        <v>236</v>
      </c>
      <c r="B77" s="57" t="s">
        <v>98</v>
      </c>
      <c r="C77" s="57" t="s">
        <v>294</v>
      </c>
      <c r="D77" s="58" t="s">
        <v>295</v>
      </c>
      <c r="E77" s="57" t="s">
        <v>110</v>
      </c>
      <c r="F77" s="56">
        <v>6</v>
      </c>
      <c r="G77" s="81">
        <v>119</v>
      </c>
      <c r="H77" s="82">
        <f t="shared" si="4"/>
        <v>147.83</v>
      </c>
      <c r="I77" s="80">
        <f t="shared" si="5"/>
        <v>886.98</v>
      </c>
      <c r="J77" s="13"/>
      <c r="K77" s="55" t="s">
        <v>396</v>
      </c>
      <c r="L77" s="10"/>
      <c r="M77" s="75"/>
      <c r="N77" s="76">
        <f t="shared" si="6"/>
        <v>886.98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</row>
    <row r="78" spans="1:60" ht="28.5" customHeight="1">
      <c r="A78" s="59" t="s">
        <v>237</v>
      </c>
      <c r="B78" s="57" t="s">
        <v>93</v>
      </c>
      <c r="C78" s="57">
        <v>90460</v>
      </c>
      <c r="D78" s="58" t="s">
        <v>296</v>
      </c>
      <c r="E78" s="57" t="s">
        <v>110</v>
      </c>
      <c r="F78" s="56">
        <v>3</v>
      </c>
      <c r="G78" s="81">
        <v>67.11</v>
      </c>
      <c r="H78" s="82">
        <f t="shared" si="4"/>
        <v>83.37</v>
      </c>
      <c r="I78" s="80">
        <f t="shared" si="5"/>
        <v>250.11</v>
      </c>
      <c r="J78" s="13"/>
      <c r="K78" s="55" t="s">
        <v>397</v>
      </c>
      <c r="L78" s="10"/>
      <c r="M78" s="75"/>
      <c r="N78" s="76">
        <f t="shared" si="6"/>
        <v>250.11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</row>
    <row r="79" spans="1:60" ht="37.5" customHeight="1">
      <c r="A79" s="59" t="s">
        <v>238</v>
      </c>
      <c r="B79" s="57" t="s">
        <v>98</v>
      </c>
      <c r="C79" s="57" t="s">
        <v>297</v>
      </c>
      <c r="D79" s="58" t="s">
        <v>298</v>
      </c>
      <c r="E79" s="57" t="s">
        <v>105</v>
      </c>
      <c r="F79" s="56">
        <v>6</v>
      </c>
      <c r="G79" s="81">
        <v>96.5</v>
      </c>
      <c r="H79" s="82">
        <f t="shared" si="4"/>
        <v>119.88</v>
      </c>
      <c r="I79" s="80">
        <f t="shared" si="5"/>
        <v>719.28</v>
      </c>
      <c r="J79" s="13"/>
      <c r="K79" s="55" t="s">
        <v>398</v>
      </c>
      <c r="L79" s="10"/>
      <c r="M79" s="75"/>
      <c r="N79" s="76">
        <f t="shared" si="6"/>
        <v>719.28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</row>
    <row r="80" spans="1:60" ht="37.5" customHeight="1">
      <c r="A80" s="59" t="s">
        <v>239</v>
      </c>
      <c r="B80" s="57" t="s">
        <v>98</v>
      </c>
      <c r="C80" s="57" t="s">
        <v>299</v>
      </c>
      <c r="D80" s="58" t="s">
        <v>300</v>
      </c>
      <c r="E80" s="57" t="s">
        <v>105</v>
      </c>
      <c r="F80" s="56">
        <v>3</v>
      </c>
      <c r="G80" s="81">
        <v>135</v>
      </c>
      <c r="H80" s="82">
        <f t="shared" si="4"/>
        <v>167.71</v>
      </c>
      <c r="I80" s="80">
        <f t="shared" si="5"/>
        <v>503.13</v>
      </c>
      <c r="J80" s="13"/>
      <c r="K80" s="55" t="s">
        <v>399</v>
      </c>
      <c r="L80" s="10"/>
      <c r="M80" s="75"/>
      <c r="N80" s="76">
        <f t="shared" si="6"/>
        <v>503.13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</row>
    <row r="81" spans="1:60" ht="28.5" customHeight="1">
      <c r="A81" s="59" t="s">
        <v>240</v>
      </c>
      <c r="B81" s="57" t="s">
        <v>98</v>
      </c>
      <c r="C81" s="57" t="s">
        <v>301</v>
      </c>
      <c r="D81" s="58" t="s">
        <v>302</v>
      </c>
      <c r="E81" s="57" t="s">
        <v>105</v>
      </c>
      <c r="F81" s="56">
        <v>70</v>
      </c>
      <c r="G81" s="81">
        <v>19.4</v>
      </c>
      <c r="H81" s="82">
        <f t="shared" si="4"/>
        <v>24.1</v>
      </c>
      <c r="I81" s="80">
        <f t="shared" si="5"/>
        <v>1687</v>
      </c>
      <c r="J81" s="13"/>
      <c r="K81" s="55" t="s">
        <v>400</v>
      </c>
      <c r="L81" s="10"/>
      <c r="M81" s="75"/>
      <c r="N81" s="76">
        <f t="shared" si="6"/>
        <v>1687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</row>
    <row r="82" spans="1:60" ht="35.25" customHeight="1">
      <c r="A82" s="59" t="s">
        <v>241</v>
      </c>
      <c r="B82" s="57" t="s">
        <v>98</v>
      </c>
      <c r="C82" s="57" t="s">
        <v>303</v>
      </c>
      <c r="D82" s="58" t="s">
        <v>304</v>
      </c>
      <c r="E82" s="57" t="s">
        <v>105</v>
      </c>
      <c r="F82" s="56">
        <v>22</v>
      </c>
      <c r="G82" s="81">
        <v>10.44</v>
      </c>
      <c r="H82" s="82">
        <f t="shared" si="4"/>
        <v>12.97</v>
      </c>
      <c r="I82" s="80">
        <f t="shared" si="5"/>
        <v>285.34</v>
      </c>
      <c r="J82" s="13"/>
      <c r="K82" s="55" t="s">
        <v>401</v>
      </c>
      <c r="L82" s="10"/>
      <c r="M82" s="75"/>
      <c r="N82" s="76">
        <f t="shared" si="6"/>
        <v>285.34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</row>
    <row r="83" spans="1:60" ht="35.25" customHeight="1">
      <c r="A83" s="59" t="s">
        <v>242</v>
      </c>
      <c r="B83" s="57" t="s">
        <v>98</v>
      </c>
      <c r="C83" s="57" t="s">
        <v>305</v>
      </c>
      <c r="D83" s="58" t="s">
        <v>306</v>
      </c>
      <c r="E83" s="57" t="s">
        <v>109</v>
      </c>
      <c r="F83" s="56">
        <v>10</v>
      </c>
      <c r="G83" s="81">
        <v>103.15</v>
      </c>
      <c r="H83" s="82">
        <f aca="true" t="shared" si="7" ref="H83:H89">ROUND(G83*1.2423,2)</f>
        <v>128.14</v>
      </c>
      <c r="I83" s="80">
        <f aca="true" t="shared" si="8" ref="I83:I89">ROUND(H83*F83,2)</f>
        <v>1281.4</v>
      </c>
      <c r="J83" s="13"/>
      <c r="K83" s="55" t="s">
        <v>402</v>
      </c>
      <c r="L83" s="10"/>
      <c r="M83" s="75"/>
      <c r="N83" s="76">
        <f aca="true" t="shared" si="9" ref="N83:N89">ROUND(F83*H83,2)</f>
        <v>1281.4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</row>
    <row r="84" spans="1:60" ht="35.25" customHeight="1">
      <c r="A84" s="59" t="s">
        <v>243</v>
      </c>
      <c r="B84" s="57" t="s">
        <v>98</v>
      </c>
      <c r="C84" s="57" t="s">
        <v>201</v>
      </c>
      <c r="D84" s="58" t="s">
        <v>202</v>
      </c>
      <c r="E84" s="57" t="s">
        <v>110</v>
      </c>
      <c r="F84" s="56">
        <v>275</v>
      </c>
      <c r="G84" s="81">
        <v>20.02</v>
      </c>
      <c r="H84" s="82">
        <f t="shared" si="7"/>
        <v>24.87</v>
      </c>
      <c r="I84" s="80">
        <f t="shared" si="8"/>
        <v>6839.25</v>
      </c>
      <c r="J84" s="13"/>
      <c r="K84" s="55" t="s">
        <v>447</v>
      </c>
      <c r="L84" s="10"/>
      <c r="M84" s="75"/>
      <c r="N84" s="76">
        <f t="shared" si="9"/>
        <v>6839.25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</row>
    <row r="85" spans="1:60" ht="43.5" customHeight="1">
      <c r="A85" s="59" t="s">
        <v>244</v>
      </c>
      <c r="B85" s="57" t="s">
        <v>98</v>
      </c>
      <c r="C85" s="57" t="s">
        <v>421</v>
      </c>
      <c r="D85" s="58" t="s">
        <v>422</v>
      </c>
      <c r="E85" s="57" t="s">
        <v>110</v>
      </c>
      <c r="F85" s="56">
        <v>234</v>
      </c>
      <c r="G85" s="81">
        <v>326.48</v>
      </c>
      <c r="H85" s="82">
        <f t="shared" si="7"/>
        <v>405.59</v>
      </c>
      <c r="I85" s="80">
        <f t="shared" si="8"/>
        <v>94908.06</v>
      </c>
      <c r="J85" s="13"/>
      <c r="K85" s="55" t="s">
        <v>446</v>
      </c>
      <c r="L85" s="10"/>
      <c r="M85" s="75"/>
      <c r="N85" s="76">
        <f t="shared" si="9"/>
        <v>94908.06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</row>
    <row r="86" spans="1:60" ht="35.25" customHeight="1">
      <c r="A86" s="59" t="s">
        <v>245</v>
      </c>
      <c r="B86" s="57" t="s">
        <v>98</v>
      </c>
      <c r="C86" s="57" t="s">
        <v>423</v>
      </c>
      <c r="D86" s="58" t="s">
        <v>424</v>
      </c>
      <c r="E86" s="57" t="s">
        <v>110</v>
      </c>
      <c r="F86" s="56">
        <v>16</v>
      </c>
      <c r="G86" s="81">
        <v>984.58</v>
      </c>
      <c r="H86" s="82">
        <f t="shared" si="7"/>
        <v>1223.14</v>
      </c>
      <c r="I86" s="80">
        <f t="shared" si="8"/>
        <v>19570.24</v>
      </c>
      <c r="J86" s="13"/>
      <c r="K86" s="55" t="s">
        <v>384</v>
      </c>
      <c r="L86" s="10"/>
      <c r="M86" s="75"/>
      <c r="N86" s="76">
        <f t="shared" si="9"/>
        <v>19570.24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spans="1:60" ht="35.25" customHeight="1">
      <c r="A87" s="59" t="s">
        <v>246</v>
      </c>
      <c r="B87" s="57" t="s">
        <v>98</v>
      </c>
      <c r="C87" s="57" t="s">
        <v>425</v>
      </c>
      <c r="D87" s="58" t="s">
        <v>426</v>
      </c>
      <c r="E87" s="57" t="s">
        <v>110</v>
      </c>
      <c r="F87" s="56">
        <v>9</v>
      </c>
      <c r="G87" s="81">
        <v>756.55</v>
      </c>
      <c r="H87" s="82">
        <f t="shared" si="7"/>
        <v>939.86</v>
      </c>
      <c r="I87" s="80">
        <f t="shared" si="8"/>
        <v>8458.74</v>
      </c>
      <c r="J87" s="13"/>
      <c r="K87" s="55" t="s">
        <v>433</v>
      </c>
      <c r="L87" s="10"/>
      <c r="M87" s="75"/>
      <c r="N87" s="76">
        <f t="shared" si="9"/>
        <v>8458.74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</row>
    <row r="88" spans="1:60" ht="35.25" customHeight="1">
      <c r="A88" s="59" t="s">
        <v>247</v>
      </c>
      <c r="B88" s="57" t="s">
        <v>98</v>
      </c>
      <c r="C88" s="57" t="s">
        <v>427</v>
      </c>
      <c r="D88" s="58" t="s">
        <v>428</v>
      </c>
      <c r="E88" s="57" t="s">
        <v>110</v>
      </c>
      <c r="F88" s="56">
        <v>9</v>
      </c>
      <c r="G88" s="81">
        <v>130.03</v>
      </c>
      <c r="H88" s="82">
        <f t="shared" si="7"/>
        <v>161.54</v>
      </c>
      <c r="I88" s="80">
        <f t="shared" si="8"/>
        <v>1453.86</v>
      </c>
      <c r="J88" s="13"/>
      <c r="K88" s="55" t="s">
        <v>433</v>
      </c>
      <c r="L88" s="10"/>
      <c r="M88" s="75"/>
      <c r="N88" s="76">
        <f t="shared" si="9"/>
        <v>1453.86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</row>
    <row r="89" spans="1:60" ht="35.25" customHeight="1">
      <c r="A89" s="59" t="s">
        <v>481</v>
      </c>
      <c r="B89" s="57" t="s">
        <v>98</v>
      </c>
      <c r="C89" s="57" t="s">
        <v>429</v>
      </c>
      <c r="D89" s="58" t="s">
        <v>430</v>
      </c>
      <c r="E89" s="57" t="s">
        <v>110</v>
      </c>
      <c r="F89" s="56">
        <v>18</v>
      </c>
      <c r="G89" s="81">
        <v>284.62</v>
      </c>
      <c r="H89" s="82">
        <f t="shared" si="7"/>
        <v>353.58</v>
      </c>
      <c r="I89" s="80">
        <f t="shared" si="8"/>
        <v>6364.44</v>
      </c>
      <c r="J89" s="13"/>
      <c r="K89" s="55" t="s">
        <v>434</v>
      </c>
      <c r="L89" s="10"/>
      <c r="M89" s="75"/>
      <c r="N89" s="76">
        <f t="shared" si="9"/>
        <v>6364.44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</row>
    <row r="90" spans="1:60" ht="40.5" customHeight="1">
      <c r="A90" s="59" t="s">
        <v>482</v>
      </c>
      <c r="B90" s="57" t="s">
        <v>98</v>
      </c>
      <c r="C90" s="57" t="s">
        <v>431</v>
      </c>
      <c r="D90" s="58" t="s">
        <v>432</v>
      </c>
      <c r="E90" s="57" t="s">
        <v>110</v>
      </c>
      <c r="F90" s="56">
        <v>7</v>
      </c>
      <c r="G90" s="81">
        <v>986.39</v>
      </c>
      <c r="H90" s="82">
        <f t="shared" si="4"/>
        <v>1225.39</v>
      </c>
      <c r="I90" s="80">
        <f t="shared" si="5"/>
        <v>8577.73</v>
      </c>
      <c r="J90" s="13"/>
      <c r="K90" s="55" t="s">
        <v>435</v>
      </c>
      <c r="L90" s="10"/>
      <c r="M90" s="75"/>
      <c r="N90" s="76">
        <f t="shared" si="6"/>
        <v>8577.73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</row>
    <row r="91" spans="1:60" ht="26.25" customHeight="1">
      <c r="A91" s="62" t="s">
        <v>232</v>
      </c>
      <c r="B91" s="217" t="s">
        <v>307</v>
      </c>
      <c r="C91" s="218"/>
      <c r="D91" s="218"/>
      <c r="E91" s="218"/>
      <c r="F91" s="218"/>
      <c r="G91" s="218"/>
      <c r="H91" s="219"/>
      <c r="I91" s="63">
        <f>SUM(I92:I104)</f>
        <v>103734.79</v>
      </c>
      <c r="J91" s="13"/>
      <c r="K91" s="55"/>
      <c r="L91" s="10"/>
      <c r="M91" s="87">
        <f>I91</f>
        <v>103734.79</v>
      </c>
      <c r="N91" s="76">
        <f>ROUND(F91*H91,2)</f>
        <v>0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</row>
    <row r="92" spans="1:60" ht="24" customHeight="1">
      <c r="A92" s="59" t="s">
        <v>270</v>
      </c>
      <c r="B92" s="57" t="s">
        <v>98</v>
      </c>
      <c r="C92" s="57" t="s">
        <v>315</v>
      </c>
      <c r="D92" s="58" t="s">
        <v>316</v>
      </c>
      <c r="E92" s="57" t="s">
        <v>110</v>
      </c>
      <c r="F92" s="56">
        <v>3</v>
      </c>
      <c r="G92" s="81">
        <v>1225.9</v>
      </c>
      <c r="H92" s="82">
        <f t="shared" si="4"/>
        <v>1522.94</v>
      </c>
      <c r="I92" s="80">
        <f t="shared" si="5"/>
        <v>4568.82</v>
      </c>
      <c r="J92" s="13"/>
      <c r="K92" s="55" t="s">
        <v>403</v>
      </c>
      <c r="L92" s="10"/>
      <c r="M92" s="75"/>
      <c r="N92" s="76">
        <f t="shared" si="6"/>
        <v>4568.82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</row>
    <row r="93" spans="1:60" ht="24" customHeight="1">
      <c r="A93" s="59" t="s">
        <v>271</v>
      </c>
      <c r="B93" s="57" t="s">
        <v>98</v>
      </c>
      <c r="C93" s="57" t="s">
        <v>317</v>
      </c>
      <c r="D93" s="58" t="s">
        <v>318</v>
      </c>
      <c r="E93" s="57" t="s">
        <v>110</v>
      </c>
      <c r="F93" s="56">
        <v>6</v>
      </c>
      <c r="G93" s="81">
        <v>92.22</v>
      </c>
      <c r="H93" s="82">
        <f t="shared" si="4"/>
        <v>114.56</v>
      </c>
      <c r="I93" s="80">
        <f t="shared" si="5"/>
        <v>687.36</v>
      </c>
      <c r="J93" s="13"/>
      <c r="K93" s="55" t="s">
        <v>404</v>
      </c>
      <c r="L93" s="10"/>
      <c r="M93" s="75"/>
      <c r="N93" s="76">
        <f t="shared" si="6"/>
        <v>687.36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</row>
    <row r="94" spans="1:60" ht="33.75" customHeight="1">
      <c r="A94" s="59" t="s">
        <v>272</v>
      </c>
      <c r="B94" s="57" t="s">
        <v>93</v>
      </c>
      <c r="C94" s="57" t="s">
        <v>319</v>
      </c>
      <c r="D94" s="58" t="s">
        <v>320</v>
      </c>
      <c r="E94" s="57" t="s">
        <v>110</v>
      </c>
      <c r="F94" s="56">
        <v>6</v>
      </c>
      <c r="G94" s="81">
        <v>19.23</v>
      </c>
      <c r="H94" s="82">
        <f t="shared" si="4"/>
        <v>23.89</v>
      </c>
      <c r="I94" s="80">
        <f t="shared" si="5"/>
        <v>143.34</v>
      </c>
      <c r="J94" s="13"/>
      <c r="K94" s="55" t="s">
        <v>404</v>
      </c>
      <c r="L94" s="10"/>
      <c r="M94" s="75"/>
      <c r="N94" s="76">
        <f t="shared" si="6"/>
        <v>143.34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</row>
    <row r="95" spans="1:60" ht="22.5" customHeight="1">
      <c r="A95" s="59" t="s">
        <v>273</v>
      </c>
      <c r="B95" s="57" t="s">
        <v>93</v>
      </c>
      <c r="C95" s="57" t="s">
        <v>321</v>
      </c>
      <c r="D95" s="58" t="s">
        <v>322</v>
      </c>
      <c r="E95" s="57" t="s">
        <v>110</v>
      </c>
      <c r="F95" s="56">
        <v>6</v>
      </c>
      <c r="G95" s="81">
        <v>376.46</v>
      </c>
      <c r="H95" s="82">
        <f t="shared" si="4"/>
        <v>467.68</v>
      </c>
      <c r="I95" s="80">
        <f t="shared" si="5"/>
        <v>2806.08</v>
      </c>
      <c r="J95" s="13"/>
      <c r="K95" s="55" t="s">
        <v>404</v>
      </c>
      <c r="L95" s="10"/>
      <c r="M95" s="75"/>
      <c r="N95" s="76">
        <f t="shared" si="6"/>
        <v>2806.08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</row>
    <row r="96" spans="1:60" ht="24" customHeight="1">
      <c r="A96" s="59" t="s">
        <v>274</v>
      </c>
      <c r="B96" s="57" t="s">
        <v>98</v>
      </c>
      <c r="C96" s="57" t="s">
        <v>323</v>
      </c>
      <c r="D96" s="58" t="s">
        <v>324</v>
      </c>
      <c r="E96" s="57" t="s">
        <v>110</v>
      </c>
      <c r="F96" s="56">
        <v>3</v>
      </c>
      <c r="G96" s="81">
        <v>96.05</v>
      </c>
      <c r="H96" s="82">
        <f t="shared" si="4"/>
        <v>119.32</v>
      </c>
      <c r="I96" s="80">
        <f t="shared" si="5"/>
        <v>357.96</v>
      </c>
      <c r="J96" s="13"/>
      <c r="K96" s="55" t="s">
        <v>403</v>
      </c>
      <c r="L96" s="10"/>
      <c r="M96" s="75"/>
      <c r="N96" s="76">
        <f t="shared" si="6"/>
        <v>357.96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</row>
    <row r="97" spans="1:60" ht="20.25" customHeight="1">
      <c r="A97" s="59" t="s">
        <v>275</v>
      </c>
      <c r="B97" s="57" t="s">
        <v>93</v>
      </c>
      <c r="C97" s="57" t="s">
        <v>325</v>
      </c>
      <c r="D97" s="58" t="s">
        <v>326</v>
      </c>
      <c r="E97" s="57" t="s">
        <v>110</v>
      </c>
      <c r="F97" s="56">
        <v>4</v>
      </c>
      <c r="G97" s="81">
        <v>499.21</v>
      </c>
      <c r="H97" s="82">
        <f t="shared" si="4"/>
        <v>620.17</v>
      </c>
      <c r="I97" s="80">
        <f t="shared" si="5"/>
        <v>2480.68</v>
      </c>
      <c r="J97" s="13"/>
      <c r="K97" s="55" t="s">
        <v>405</v>
      </c>
      <c r="L97" s="10"/>
      <c r="M97" s="75"/>
      <c r="N97" s="76">
        <f t="shared" si="6"/>
        <v>2480.68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</row>
    <row r="98" spans="1:60" ht="22.5" customHeight="1">
      <c r="A98" s="59" t="s">
        <v>276</v>
      </c>
      <c r="B98" s="57" t="s">
        <v>93</v>
      </c>
      <c r="C98" s="57" t="s">
        <v>327</v>
      </c>
      <c r="D98" s="58" t="s">
        <v>328</v>
      </c>
      <c r="E98" s="57" t="s">
        <v>110</v>
      </c>
      <c r="F98" s="56">
        <v>170</v>
      </c>
      <c r="G98" s="81">
        <v>15.95</v>
      </c>
      <c r="H98" s="82">
        <f t="shared" si="4"/>
        <v>19.81</v>
      </c>
      <c r="I98" s="80">
        <f t="shared" si="5"/>
        <v>3367.7</v>
      </c>
      <c r="J98" s="13"/>
      <c r="K98" s="55" t="s">
        <v>406</v>
      </c>
      <c r="L98" s="10"/>
      <c r="M98" s="75"/>
      <c r="N98" s="76">
        <f t="shared" si="6"/>
        <v>3367.7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1:60" ht="45.75" customHeight="1">
      <c r="A99" s="59" t="s">
        <v>277</v>
      </c>
      <c r="B99" s="57" t="s">
        <v>97</v>
      </c>
      <c r="C99" s="57" t="s">
        <v>329</v>
      </c>
      <c r="D99" s="58" t="s">
        <v>330</v>
      </c>
      <c r="E99" s="57" t="s">
        <v>105</v>
      </c>
      <c r="F99" s="56">
        <v>3965</v>
      </c>
      <c r="G99" s="81">
        <v>6.37</v>
      </c>
      <c r="H99" s="82">
        <f t="shared" si="4"/>
        <v>7.91</v>
      </c>
      <c r="I99" s="80">
        <f t="shared" si="5"/>
        <v>31363.15</v>
      </c>
      <c r="J99" s="13"/>
      <c r="K99" s="55" t="s">
        <v>407</v>
      </c>
      <c r="L99" s="10"/>
      <c r="M99" s="75"/>
      <c r="N99" s="76">
        <f t="shared" si="6"/>
        <v>31363.15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60" ht="29.25" customHeight="1">
      <c r="A100" s="59" t="s">
        <v>278</v>
      </c>
      <c r="B100" s="57" t="s">
        <v>98</v>
      </c>
      <c r="C100" s="57" t="s">
        <v>331</v>
      </c>
      <c r="D100" s="58" t="s">
        <v>332</v>
      </c>
      <c r="E100" s="57" t="s">
        <v>105</v>
      </c>
      <c r="F100" s="56">
        <v>180</v>
      </c>
      <c r="G100" s="81">
        <v>107.54</v>
      </c>
      <c r="H100" s="82">
        <f t="shared" si="4"/>
        <v>133.6</v>
      </c>
      <c r="I100" s="80">
        <f t="shared" si="5"/>
        <v>24048</v>
      </c>
      <c r="J100" s="13"/>
      <c r="K100" s="55" t="s">
        <v>408</v>
      </c>
      <c r="L100" s="10"/>
      <c r="M100" s="75"/>
      <c r="N100" s="76">
        <f t="shared" si="6"/>
        <v>24048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spans="1:60" ht="24.75" customHeight="1">
      <c r="A101" s="59" t="s">
        <v>279</v>
      </c>
      <c r="B101" s="57" t="s">
        <v>98</v>
      </c>
      <c r="C101" s="57" t="s">
        <v>333</v>
      </c>
      <c r="D101" s="58" t="s">
        <v>334</v>
      </c>
      <c r="E101" s="57" t="s">
        <v>105</v>
      </c>
      <c r="F101" s="56">
        <v>270</v>
      </c>
      <c r="G101" s="81">
        <v>31.72</v>
      </c>
      <c r="H101" s="82">
        <f t="shared" si="4"/>
        <v>39.41</v>
      </c>
      <c r="I101" s="80">
        <f t="shared" si="5"/>
        <v>10640.7</v>
      </c>
      <c r="J101" s="13"/>
      <c r="K101" s="55" t="s">
        <v>409</v>
      </c>
      <c r="L101" s="10"/>
      <c r="M101" s="75"/>
      <c r="N101" s="76">
        <f t="shared" si="6"/>
        <v>10640.7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</row>
    <row r="102" spans="1:60" ht="22.5" customHeight="1">
      <c r="A102" s="59" t="s">
        <v>280</v>
      </c>
      <c r="B102" s="57" t="s">
        <v>98</v>
      </c>
      <c r="C102" s="57" t="s">
        <v>335</v>
      </c>
      <c r="D102" s="58" t="s">
        <v>336</v>
      </c>
      <c r="E102" s="57" t="s">
        <v>109</v>
      </c>
      <c r="F102" s="56">
        <v>100</v>
      </c>
      <c r="G102" s="81">
        <v>41.55</v>
      </c>
      <c r="H102" s="82">
        <f t="shared" si="4"/>
        <v>51.62</v>
      </c>
      <c r="I102" s="80">
        <f t="shared" si="5"/>
        <v>5162</v>
      </c>
      <c r="J102" s="13"/>
      <c r="K102" s="55" t="s">
        <v>410</v>
      </c>
      <c r="L102" s="10"/>
      <c r="M102" s="75"/>
      <c r="N102" s="76">
        <f t="shared" si="6"/>
        <v>5162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</row>
    <row r="103" spans="1:60" ht="30.75" customHeight="1">
      <c r="A103" s="59" t="s">
        <v>281</v>
      </c>
      <c r="B103" s="57" t="s">
        <v>97</v>
      </c>
      <c r="C103" s="57" t="s">
        <v>337</v>
      </c>
      <c r="D103" s="58" t="s">
        <v>338</v>
      </c>
      <c r="E103" s="57" t="s">
        <v>110</v>
      </c>
      <c r="F103" s="56">
        <v>250</v>
      </c>
      <c r="G103" s="81">
        <v>55.45</v>
      </c>
      <c r="H103" s="82">
        <f t="shared" si="4"/>
        <v>68.89</v>
      </c>
      <c r="I103" s="80">
        <f t="shared" si="5"/>
        <v>17222.5</v>
      </c>
      <c r="J103" s="13"/>
      <c r="K103" s="55" t="s">
        <v>411</v>
      </c>
      <c r="L103" s="10"/>
      <c r="M103" s="75"/>
      <c r="N103" s="76">
        <f t="shared" si="6"/>
        <v>17222.5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</row>
    <row r="104" spans="1:60" ht="24.75" customHeight="1">
      <c r="A104" s="59" t="s">
        <v>282</v>
      </c>
      <c r="B104" s="57" t="s">
        <v>102</v>
      </c>
      <c r="C104" s="57" t="s">
        <v>339</v>
      </c>
      <c r="D104" s="58" t="s">
        <v>340</v>
      </c>
      <c r="E104" s="57" t="s">
        <v>341</v>
      </c>
      <c r="F104" s="56">
        <v>150</v>
      </c>
      <c r="G104" s="81">
        <v>4.76</v>
      </c>
      <c r="H104" s="82">
        <f t="shared" si="4"/>
        <v>5.91</v>
      </c>
      <c r="I104" s="80">
        <f t="shared" si="5"/>
        <v>886.5</v>
      </c>
      <c r="J104" s="13"/>
      <c r="K104" s="55" t="s">
        <v>412</v>
      </c>
      <c r="L104" s="10"/>
      <c r="M104" s="75"/>
      <c r="N104" s="76">
        <f t="shared" si="6"/>
        <v>886.5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</row>
    <row r="105" spans="1:60" ht="25.5" customHeight="1">
      <c r="A105" s="62" t="s">
        <v>283</v>
      </c>
      <c r="B105" s="217" t="s">
        <v>91</v>
      </c>
      <c r="C105" s="218"/>
      <c r="D105" s="218"/>
      <c r="E105" s="218"/>
      <c r="F105" s="218"/>
      <c r="G105" s="218"/>
      <c r="H105" s="219"/>
      <c r="I105" s="63">
        <f>SUM(I106:I111)</f>
        <v>442667.66000000003</v>
      </c>
      <c r="J105" s="13"/>
      <c r="K105" s="55"/>
      <c r="L105" s="10"/>
      <c r="M105" s="87">
        <f>I105</f>
        <v>442667.66000000003</v>
      </c>
      <c r="N105" s="76">
        <f t="shared" si="6"/>
        <v>0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</row>
    <row r="106" spans="1:60" ht="27.75" customHeight="1">
      <c r="A106" s="59" t="s">
        <v>308</v>
      </c>
      <c r="B106" s="57" t="s">
        <v>93</v>
      </c>
      <c r="C106" s="57" t="s">
        <v>348</v>
      </c>
      <c r="D106" s="58" t="s">
        <v>349</v>
      </c>
      <c r="E106" s="57" t="s">
        <v>105</v>
      </c>
      <c r="F106" s="56">
        <v>88.86</v>
      </c>
      <c r="G106" s="81">
        <v>46.27</v>
      </c>
      <c r="H106" s="82">
        <f t="shared" si="4"/>
        <v>57.48</v>
      </c>
      <c r="I106" s="80">
        <f t="shared" si="5"/>
        <v>5107.67</v>
      </c>
      <c r="J106" s="13"/>
      <c r="K106" s="55" t="s">
        <v>413</v>
      </c>
      <c r="L106" s="10"/>
      <c r="M106" s="75"/>
      <c r="N106" s="76">
        <f t="shared" si="6"/>
        <v>5107.67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ht="24" customHeight="1">
      <c r="A107" s="59" t="s">
        <v>309</v>
      </c>
      <c r="B107" s="57" t="s">
        <v>98</v>
      </c>
      <c r="C107" s="57" t="s">
        <v>350</v>
      </c>
      <c r="D107" s="58" t="s">
        <v>351</v>
      </c>
      <c r="E107" s="57" t="s">
        <v>96</v>
      </c>
      <c r="F107" s="56">
        <v>666.43</v>
      </c>
      <c r="G107" s="81">
        <v>17.21</v>
      </c>
      <c r="H107" s="82">
        <f t="shared" si="4"/>
        <v>21.38</v>
      </c>
      <c r="I107" s="80">
        <f t="shared" si="5"/>
        <v>14248.27</v>
      </c>
      <c r="J107" s="13"/>
      <c r="K107" s="55" t="s">
        <v>414</v>
      </c>
      <c r="L107" s="10"/>
      <c r="M107" s="75"/>
      <c r="N107" s="76">
        <f t="shared" si="6"/>
        <v>14248.27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1:60" ht="24" customHeight="1">
      <c r="A108" s="59" t="s">
        <v>310</v>
      </c>
      <c r="B108" s="57" t="s">
        <v>98</v>
      </c>
      <c r="C108" s="57" t="s">
        <v>352</v>
      </c>
      <c r="D108" s="58" t="s">
        <v>353</v>
      </c>
      <c r="E108" s="57" t="s">
        <v>96</v>
      </c>
      <c r="F108" s="56">
        <v>3611.36</v>
      </c>
      <c r="G108" s="81">
        <v>32.49</v>
      </c>
      <c r="H108" s="82">
        <f t="shared" si="4"/>
        <v>40.36</v>
      </c>
      <c r="I108" s="80">
        <f t="shared" si="5"/>
        <v>145754.49</v>
      </c>
      <c r="J108" s="13"/>
      <c r="K108" s="55" t="s">
        <v>415</v>
      </c>
      <c r="L108" s="10"/>
      <c r="M108" s="75"/>
      <c r="N108" s="76">
        <f t="shared" si="6"/>
        <v>145754.49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  <row r="109" spans="1:60" ht="21.75" customHeight="1">
      <c r="A109" s="59" t="s">
        <v>311</v>
      </c>
      <c r="B109" s="57" t="s">
        <v>98</v>
      </c>
      <c r="C109" s="57" t="s">
        <v>354</v>
      </c>
      <c r="D109" s="58" t="s">
        <v>355</v>
      </c>
      <c r="E109" s="57" t="s">
        <v>96</v>
      </c>
      <c r="F109" s="56">
        <v>4442.88</v>
      </c>
      <c r="G109" s="81">
        <v>35.2</v>
      </c>
      <c r="H109" s="82">
        <f t="shared" si="4"/>
        <v>43.73</v>
      </c>
      <c r="I109" s="80">
        <f t="shared" si="5"/>
        <v>194287.14</v>
      </c>
      <c r="J109" s="13"/>
      <c r="K109" s="55" t="s">
        <v>416</v>
      </c>
      <c r="L109" s="10"/>
      <c r="M109" s="75"/>
      <c r="N109" s="76">
        <f t="shared" si="6"/>
        <v>194287.14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</row>
    <row r="110" spans="1:60" ht="30" customHeight="1">
      <c r="A110" s="59" t="s">
        <v>312</v>
      </c>
      <c r="B110" s="57" t="s">
        <v>98</v>
      </c>
      <c r="C110" s="57" t="s">
        <v>107</v>
      </c>
      <c r="D110" s="58" t="s">
        <v>108</v>
      </c>
      <c r="E110" s="57" t="s">
        <v>96</v>
      </c>
      <c r="F110" s="56">
        <v>849.43</v>
      </c>
      <c r="G110" s="81">
        <v>47.56</v>
      </c>
      <c r="H110" s="82">
        <f t="shared" si="4"/>
        <v>59.08</v>
      </c>
      <c r="I110" s="80">
        <f t="shared" si="5"/>
        <v>50184.32</v>
      </c>
      <c r="J110" s="13"/>
      <c r="K110" s="55" t="s">
        <v>417</v>
      </c>
      <c r="L110" s="10"/>
      <c r="M110" s="75"/>
      <c r="N110" s="76">
        <f t="shared" si="6"/>
        <v>50184.32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</row>
    <row r="111" spans="1:60" ht="21" customHeight="1">
      <c r="A111" s="59" t="s">
        <v>313</v>
      </c>
      <c r="B111" s="57" t="s">
        <v>98</v>
      </c>
      <c r="C111" s="57" t="s">
        <v>356</v>
      </c>
      <c r="D111" s="58" t="s">
        <v>357</v>
      </c>
      <c r="E111" s="57" t="s">
        <v>96</v>
      </c>
      <c r="F111" s="56">
        <v>555.41</v>
      </c>
      <c r="G111" s="81">
        <v>47.95</v>
      </c>
      <c r="H111" s="82">
        <f t="shared" si="4"/>
        <v>59.57</v>
      </c>
      <c r="I111" s="80">
        <f t="shared" si="5"/>
        <v>33085.77</v>
      </c>
      <c r="J111" s="13"/>
      <c r="K111" s="55" t="s">
        <v>418</v>
      </c>
      <c r="L111" s="10"/>
      <c r="M111" s="75"/>
      <c r="N111" s="76">
        <f t="shared" si="6"/>
        <v>33085.77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</row>
    <row r="112" spans="1:60" ht="27" customHeight="1">
      <c r="A112" s="62" t="s">
        <v>314</v>
      </c>
      <c r="B112" s="217" t="s">
        <v>92</v>
      </c>
      <c r="C112" s="218"/>
      <c r="D112" s="218"/>
      <c r="E112" s="218"/>
      <c r="F112" s="218"/>
      <c r="G112" s="218"/>
      <c r="H112" s="219"/>
      <c r="I112" s="63">
        <f>SUM(I113:I120)</f>
        <v>533020.48</v>
      </c>
      <c r="J112" s="13"/>
      <c r="K112" s="55"/>
      <c r="L112" s="10"/>
      <c r="M112" s="87">
        <f>I112</f>
        <v>533020.48</v>
      </c>
      <c r="N112" s="76">
        <f t="shared" si="6"/>
        <v>0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</row>
    <row r="113" spans="1:60" ht="51" customHeight="1">
      <c r="A113" s="59" t="s">
        <v>342</v>
      </c>
      <c r="B113" s="57" t="s">
        <v>93</v>
      </c>
      <c r="C113" s="57">
        <v>68003</v>
      </c>
      <c r="D113" s="58" t="s">
        <v>358</v>
      </c>
      <c r="E113" s="57" t="s">
        <v>96</v>
      </c>
      <c r="F113" s="56">
        <v>2565.11</v>
      </c>
      <c r="G113" s="81">
        <v>36.32</v>
      </c>
      <c r="H113" s="82">
        <f aca="true" t="shared" si="10" ref="H113:H120">ROUND(G113*1.2423,2)</f>
        <v>45.12</v>
      </c>
      <c r="I113" s="80">
        <f aca="true" t="shared" si="11" ref="I113:I120">ROUND(H113*F113,2)</f>
        <v>115737.76</v>
      </c>
      <c r="J113" s="13"/>
      <c r="K113" s="55" t="s">
        <v>419</v>
      </c>
      <c r="L113" s="10"/>
      <c r="M113" s="75"/>
      <c r="N113" s="76">
        <f t="shared" si="6"/>
        <v>115737.76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</row>
    <row r="114" spans="1:60" ht="34.5" customHeight="1">
      <c r="A114" s="59" t="s">
        <v>343</v>
      </c>
      <c r="B114" s="57" t="s">
        <v>98</v>
      </c>
      <c r="C114" s="57" t="s">
        <v>436</v>
      </c>
      <c r="D114" s="58" t="s">
        <v>440</v>
      </c>
      <c r="E114" s="57" t="s">
        <v>96</v>
      </c>
      <c r="F114" s="56">
        <v>73.53</v>
      </c>
      <c r="G114" s="81">
        <v>14.85</v>
      </c>
      <c r="H114" s="82">
        <f t="shared" si="10"/>
        <v>18.45</v>
      </c>
      <c r="I114" s="80">
        <f t="shared" si="11"/>
        <v>1356.63</v>
      </c>
      <c r="J114" s="13"/>
      <c r="K114" s="55" t="s">
        <v>448</v>
      </c>
      <c r="L114" s="10"/>
      <c r="M114" s="75"/>
      <c r="N114" s="76">
        <f t="shared" si="6"/>
        <v>1356.63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ht="24" customHeight="1">
      <c r="A115" s="59" t="s">
        <v>344</v>
      </c>
      <c r="B115" s="57" t="s">
        <v>98</v>
      </c>
      <c r="C115" s="57" t="s">
        <v>437</v>
      </c>
      <c r="D115" s="58" t="s">
        <v>441</v>
      </c>
      <c r="E115" s="57" t="s">
        <v>96</v>
      </c>
      <c r="F115" s="56">
        <v>73.53</v>
      </c>
      <c r="G115" s="81">
        <v>175.71</v>
      </c>
      <c r="H115" s="82">
        <f t="shared" si="10"/>
        <v>218.28</v>
      </c>
      <c r="I115" s="80">
        <f t="shared" si="11"/>
        <v>16050.13</v>
      </c>
      <c r="J115" s="13"/>
      <c r="K115" s="55" t="s">
        <v>448</v>
      </c>
      <c r="L115" s="10"/>
      <c r="M115" s="75"/>
      <c r="N115" s="76">
        <f t="shared" si="6"/>
        <v>16050.13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6" spans="1:60" ht="23.25" customHeight="1">
      <c r="A116" s="59" t="s">
        <v>345</v>
      </c>
      <c r="B116" s="57" t="s">
        <v>98</v>
      </c>
      <c r="C116" s="57" t="s">
        <v>438</v>
      </c>
      <c r="D116" s="58" t="s">
        <v>442</v>
      </c>
      <c r="E116" s="57" t="s">
        <v>105</v>
      </c>
      <c r="F116" s="56">
        <v>187.86</v>
      </c>
      <c r="G116" s="81">
        <v>10.18</v>
      </c>
      <c r="H116" s="82">
        <f t="shared" si="10"/>
        <v>12.65</v>
      </c>
      <c r="I116" s="80">
        <f t="shared" si="11"/>
        <v>2376.43</v>
      </c>
      <c r="J116" s="13"/>
      <c r="K116" s="55" t="s">
        <v>445</v>
      </c>
      <c r="L116" s="10"/>
      <c r="M116" s="75"/>
      <c r="N116" s="76">
        <f t="shared" si="6"/>
        <v>2376.43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</row>
    <row r="117" spans="1:60" ht="32.25" customHeight="1">
      <c r="A117" s="59" t="s">
        <v>346</v>
      </c>
      <c r="B117" s="57" t="s">
        <v>98</v>
      </c>
      <c r="C117" s="57" t="s">
        <v>439</v>
      </c>
      <c r="D117" s="58" t="s">
        <v>443</v>
      </c>
      <c r="E117" s="57" t="s">
        <v>105</v>
      </c>
      <c r="F117" s="56">
        <v>187.86</v>
      </c>
      <c r="G117" s="81">
        <v>151.48</v>
      </c>
      <c r="H117" s="82">
        <f t="shared" si="10"/>
        <v>188.18</v>
      </c>
      <c r="I117" s="80">
        <f t="shared" si="11"/>
        <v>35351.49</v>
      </c>
      <c r="J117" s="13"/>
      <c r="K117" s="55" t="s">
        <v>445</v>
      </c>
      <c r="L117" s="10"/>
      <c r="M117" s="75"/>
      <c r="N117" s="76">
        <f t="shared" si="6"/>
        <v>35351.49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</row>
    <row r="118" spans="1:60" ht="32.25" customHeight="1">
      <c r="A118" s="59" t="s">
        <v>347</v>
      </c>
      <c r="B118" s="177" t="s">
        <v>450</v>
      </c>
      <c r="C118" s="57" t="s">
        <v>451</v>
      </c>
      <c r="D118" s="58" t="s">
        <v>452</v>
      </c>
      <c r="E118" s="57" t="s">
        <v>449</v>
      </c>
      <c r="F118" s="56">
        <v>365.26</v>
      </c>
      <c r="G118" s="81">
        <v>718</v>
      </c>
      <c r="H118" s="82">
        <f t="shared" si="10"/>
        <v>891.97</v>
      </c>
      <c r="I118" s="80">
        <f t="shared" si="11"/>
        <v>325800.96</v>
      </c>
      <c r="J118" s="13"/>
      <c r="K118" s="55" t="s">
        <v>453</v>
      </c>
      <c r="L118" s="10"/>
      <c r="M118" s="75"/>
      <c r="N118" s="76">
        <f t="shared" si="6"/>
        <v>325800.96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</row>
    <row r="119" spans="1:60" ht="32.25" customHeight="1">
      <c r="A119" s="59" t="s">
        <v>483</v>
      </c>
      <c r="B119" s="177" t="s">
        <v>98</v>
      </c>
      <c r="C119" s="57" t="s">
        <v>508</v>
      </c>
      <c r="D119" s="58" t="s">
        <v>509</v>
      </c>
      <c r="E119" s="57" t="s">
        <v>105</v>
      </c>
      <c r="F119" s="56">
        <v>11.97</v>
      </c>
      <c r="G119" s="81">
        <v>800.25</v>
      </c>
      <c r="H119" s="82">
        <f t="shared" si="10"/>
        <v>994.15</v>
      </c>
      <c r="I119" s="80">
        <f t="shared" si="11"/>
        <v>11899.98</v>
      </c>
      <c r="J119" s="13"/>
      <c r="K119" s="55" t="s">
        <v>510</v>
      </c>
      <c r="L119" s="10"/>
      <c r="M119" s="75"/>
      <c r="N119" s="76">
        <f t="shared" si="6"/>
        <v>11899.98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</row>
    <row r="120" spans="1:60" ht="21.75" customHeight="1">
      <c r="A120" s="59" t="s">
        <v>507</v>
      </c>
      <c r="B120" s="57" t="s">
        <v>93</v>
      </c>
      <c r="C120" s="57">
        <v>181204</v>
      </c>
      <c r="D120" s="58" t="s">
        <v>359</v>
      </c>
      <c r="E120" s="57" t="s">
        <v>105</v>
      </c>
      <c r="F120" s="56">
        <v>61.53</v>
      </c>
      <c r="G120" s="81">
        <v>319.83</v>
      </c>
      <c r="H120" s="82">
        <f t="shared" si="10"/>
        <v>397.32</v>
      </c>
      <c r="I120" s="80">
        <f t="shared" si="11"/>
        <v>24447.1</v>
      </c>
      <c r="J120" s="13"/>
      <c r="K120" s="55" t="s">
        <v>420</v>
      </c>
      <c r="L120" s="10"/>
      <c r="M120" s="75"/>
      <c r="N120" s="76">
        <f t="shared" si="6"/>
        <v>24447.1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</row>
    <row r="121" spans="1:11" ht="14.25" customHeight="1">
      <c r="A121" s="204"/>
      <c r="B121" s="204"/>
      <c r="C121" s="204"/>
      <c r="D121" s="204"/>
      <c r="E121" s="204"/>
      <c r="F121" s="204"/>
      <c r="G121" s="204"/>
      <c r="H121" s="204"/>
      <c r="I121" s="204"/>
      <c r="K121" s="50"/>
    </row>
    <row r="122" spans="1:14" ht="23.25" customHeight="1">
      <c r="A122" s="223" t="s">
        <v>11</v>
      </c>
      <c r="B122" s="224" t="s">
        <v>15</v>
      </c>
      <c r="C122" s="224"/>
      <c r="D122" s="224"/>
      <c r="E122" s="224"/>
      <c r="F122" s="224"/>
      <c r="G122" s="224"/>
      <c r="H122" s="225"/>
      <c r="I122" s="86">
        <f>SUM(I9,I13,I25,I31,I37,I41,I53,I71,I91,I105,I112)</f>
        <v>2245297.19</v>
      </c>
      <c r="J122" s="13"/>
      <c r="M122" s="86">
        <f>SUM(M8:M120)</f>
        <v>2245297.19</v>
      </c>
      <c r="N122" s="77">
        <f>SUM(N8:N120)</f>
        <v>2245297.19</v>
      </c>
    </row>
    <row r="124" spans="5:8" ht="14.25" customHeight="1">
      <c r="E124" s="52"/>
      <c r="G124" s="53"/>
      <c r="H124" s="54"/>
    </row>
    <row r="125" spans="5:8" ht="14.25" customHeight="1">
      <c r="E125" s="52"/>
      <c r="G125" s="53"/>
      <c r="H125" s="54"/>
    </row>
    <row r="126" spans="5:8" ht="14.25" customHeight="1">
      <c r="E126" s="52"/>
      <c r="G126" s="53"/>
      <c r="H126" s="54"/>
    </row>
    <row r="127" spans="2:9" ht="14.25" customHeight="1">
      <c r="B127" s="186" t="s">
        <v>529</v>
      </c>
      <c r="C127" s="186"/>
      <c r="D127" s="186"/>
      <c r="E127" s="186"/>
      <c r="F127" s="186"/>
      <c r="G127" s="186"/>
      <c r="H127" s="186"/>
      <c r="I127" s="186"/>
    </row>
    <row r="128" spans="5:8" ht="14.25" customHeight="1">
      <c r="E128" s="52"/>
      <c r="G128" s="53"/>
      <c r="H128" s="54"/>
    </row>
    <row r="129" spans="5:8" ht="14.25" customHeight="1">
      <c r="E129" s="52"/>
      <c r="G129" s="53"/>
      <c r="H129" s="54"/>
    </row>
    <row r="130" spans="1:8" ht="14.25" customHeight="1">
      <c r="A130" s="186" t="s">
        <v>517</v>
      </c>
      <c r="B130" s="186"/>
      <c r="C130" s="186"/>
      <c r="E130" s="52"/>
      <c r="G130" s="53"/>
      <c r="H130" s="54"/>
    </row>
    <row r="131" spans="2:9" ht="14.25" customHeight="1">
      <c r="B131" s="186" t="s">
        <v>65</v>
      </c>
      <c r="C131" s="186"/>
      <c r="D131" s="186"/>
      <c r="E131" s="186"/>
      <c r="F131" s="186"/>
      <c r="G131" s="186"/>
      <c r="H131" s="186"/>
      <c r="I131" s="186"/>
    </row>
    <row r="132" spans="2:9" ht="14.25" customHeight="1">
      <c r="B132" s="186" t="s">
        <v>63</v>
      </c>
      <c r="C132" s="186"/>
      <c r="D132" s="186"/>
      <c r="E132" s="186"/>
      <c r="F132" s="186"/>
      <c r="G132" s="186"/>
      <c r="H132" s="186"/>
      <c r="I132" s="186"/>
    </row>
    <row r="133" spans="2:9" ht="14.25" customHeight="1">
      <c r="B133" s="187" t="s">
        <v>518</v>
      </c>
      <c r="C133" s="187"/>
      <c r="D133" s="187"/>
      <c r="E133" s="187"/>
      <c r="F133" s="187"/>
      <c r="G133" s="187"/>
      <c r="H133" s="187"/>
      <c r="I133" s="187"/>
    </row>
    <row r="138" spans="1:3" ht="14.25" customHeight="1">
      <c r="A138" s="186"/>
      <c r="B138" s="186"/>
      <c r="C138" s="186"/>
    </row>
    <row r="139" spans="2:9" ht="14.25" customHeight="1">
      <c r="B139" s="186"/>
      <c r="C139" s="186"/>
      <c r="D139" s="186"/>
      <c r="E139" s="186"/>
      <c r="F139" s="186"/>
      <c r="G139" s="186"/>
      <c r="H139" s="186"/>
      <c r="I139" s="186"/>
    </row>
    <row r="140" spans="2:9" ht="14.25" customHeight="1">
      <c r="B140" s="186"/>
      <c r="C140" s="186"/>
      <c r="D140" s="186"/>
      <c r="E140" s="186"/>
      <c r="F140" s="186"/>
      <c r="G140" s="186"/>
      <c r="H140" s="186"/>
      <c r="I140" s="186"/>
    </row>
    <row r="141" spans="2:9" ht="14.25" customHeight="1">
      <c r="B141" s="187"/>
      <c r="C141" s="187"/>
      <c r="D141" s="187"/>
      <c r="E141" s="187"/>
      <c r="F141" s="187"/>
      <c r="G141" s="187"/>
      <c r="H141" s="187"/>
      <c r="I141" s="187"/>
    </row>
  </sheetData>
  <sheetProtection selectLockedCells="1" selectUnlockedCells="1"/>
  <mergeCells count="40">
    <mergeCell ref="A122:H122"/>
    <mergeCell ref="B127:I127"/>
    <mergeCell ref="B131:I131"/>
    <mergeCell ref="B132:I132"/>
    <mergeCell ref="B133:I133"/>
    <mergeCell ref="A121:I121"/>
    <mergeCell ref="A130:C130"/>
    <mergeCell ref="B105:H105"/>
    <mergeCell ref="B112:H112"/>
    <mergeCell ref="B71:H71"/>
    <mergeCell ref="B91:H91"/>
    <mergeCell ref="B37:H37"/>
    <mergeCell ref="B41:H41"/>
    <mergeCell ref="B53:H53"/>
    <mergeCell ref="G6:G7"/>
    <mergeCell ref="B9:H9"/>
    <mergeCell ref="B13:H13"/>
    <mergeCell ref="B25:H25"/>
    <mergeCell ref="B31:H31"/>
    <mergeCell ref="A8:I8"/>
    <mergeCell ref="H4:I4"/>
    <mergeCell ref="K4:K7"/>
    <mergeCell ref="M4:N7"/>
    <mergeCell ref="A5:I5"/>
    <mergeCell ref="A6:A7"/>
    <mergeCell ref="B6:B7"/>
    <mergeCell ref="C6:C7"/>
    <mergeCell ref="D6:D7"/>
    <mergeCell ref="E6:E7"/>
    <mergeCell ref="F6:F7"/>
    <mergeCell ref="A138:C138"/>
    <mergeCell ref="B139:I139"/>
    <mergeCell ref="B140:I140"/>
    <mergeCell ref="B141:I141"/>
    <mergeCell ref="A1:B4"/>
    <mergeCell ref="C1:I1"/>
    <mergeCell ref="C2:I2"/>
    <mergeCell ref="C3:I3"/>
    <mergeCell ref="C4:D4"/>
    <mergeCell ref="E4:G4"/>
  </mergeCells>
  <conditionalFormatting sqref="H4">
    <cfRule type="cellIs" priority="1" dxfId="1" operator="equal" stopIfTrue="1">
      <formula>""</formula>
    </cfRule>
  </conditionalFormatting>
  <dataValidations count="1">
    <dataValidation type="list" operator="equal" showErrorMessage="1" sqref="H4">
      <formula1>"DESONERADO - SANEAMENTO,DESONERADO - CONSTRUÇÃO E REFORMA,DESONERADO - FLUVIAIS,DESONERADO - RECAP. e PAVIMENTAÇÃO,NÃO DESONERADO - SANEAMENTO,NÃO DESONERADO - CONSTRUÇÃO E REFORMA,NÃO DESONERADO - FLUVIAIS,NÃO DESONERADO - RECAP. e PAVIMENTAÇÃO"</formula1>
    </dataValidation>
  </dataValidations>
  <printOptions horizontalCentered="1"/>
  <pageMargins left="0.31496062992125984" right="0.31496062992125984" top="0.984251968503937" bottom="0.7874015748031497" header="0.5118110236220472" footer="0.5118110236220472"/>
  <pageSetup horizontalDpi="300" verticalDpi="300" orientation="landscape" paperSize="9" scale="60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A3"/>
    </sheetView>
  </sheetViews>
  <sheetFormatPr defaultColWidth="8.796875" defaultRowHeight="14.25"/>
  <cols>
    <col min="1" max="1" width="13.09765625" style="0" customWidth="1"/>
    <col min="2" max="2" width="35.5" style="0" customWidth="1"/>
    <col min="3" max="3" width="14.8984375" style="0" customWidth="1"/>
    <col min="4" max="4" width="13.5" style="0" customWidth="1"/>
    <col min="5" max="5" width="11.5" style="0" bestFit="1" customWidth="1"/>
    <col min="6" max="6" width="13.5" style="0" customWidth="1"/>
    <col min="7" max="11" width="13.59765625" style="0" customWidth="1"/>
    <col min="12" max="12" width="11.3984375" style="0" bestFit="1" customWidth="1"/>
    <col min="13" max="13" width="9.8984375" style="0" hidden="1" customWidth="1"/>
    <col min="14" max="23" width="11.3984375" style="0" bestFit="1" customWidth="1"/>
    <col min="24" max="24" width="12.3984375" style="0" bestFit="1" customWidth="1"/>
  </cols>
  <sheetData>
    <row r="1" spans="1:11" ht="18" customHeight="1">
      <c r="A1" s="240"/>
      <c r="B1" s="231" t="s">
        <v>19</v>
      </c>
      <c r="C1" s="232"/>
      <c r="D1" s="232"/>
      <c r="E1" s="232"/>
      <c r="F1" s="232"/>
      <c r="G1" s="232"/>
      <c r="H1" s="232"/>
      <c r="I1" s="232"/>
      <c r="J1" s="232"/>
      <c r="K1" s="233"/>
    </row>
    <row r="2" spans="1:11" ht="7.5" customHeight="1">
      <c r="A2" s="241"/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42" customHeight="1">
      <c r="A3" s="242"/>
      <c r="B3" s="237" t="s">
        <v>163</v>
      </c>
      <c r="C3" s="238"/>
      <c r="D3" s="238"/>
      <c r="E3" s="238"/>
      <c r="F3" s="238"/>
      <c r="G3" s="238"/>
      <c r="H3" s="238"/>
      <c r="I3" s="238"/>
      <c r="J3" s="238"/>
      <c r="K3" s="239"/>
    </row>
    <row r="4" spans="1:4" ht="15.75">
      <c r="A4" s="244"/>
      <c r="B4" s="245"/>
      <c r="C4" s="245"/>
      <c r="D4" s="245"/>
    </row>
    <row r="5" spans="1:11" ht="14.25">
      <c r="A5" s="226" t="s">
        <v>3</v>
      </c>
      <c r="B5" s="226" t="s">
        <v>20</v>
      </c>
      <c r="C5" s="15" t="s">
        <v>21</v>
      </c>
      <c r="D5" s="15" t="s">
        <v>122</v>
      </c>
      <c r="E5" s="15" t="s">
        <v>123</v>
      </c>
      <c r="F5" s="15" t="s">
        <v>124</v>
      </c>
      <c r="G5" s="15" t="s">
        <v>125</v>
      </c>
      <c r="H5" s="15" t="s">
        <v>158</v>
      </c>
      <c r="I5" s="15" t="s">
        <v>159</v>
      </c>
      <c r="J5" s="15" t="s">
        <v>160</v>
      </c>
      <c r="K5" s="15" t="s">
        <v>161</v>
      </c>
    </row>
    <row r="6" spans="1:11" ht="14.25">
      <c r="A6" s="226"/>
      <c r="B6" s="226"/>
      <c r="C6" s="15" t="s">
        <v>22</v>
      </c>
      <c r="D6" s="15" t="s">
        <v>126</v>
      </c>
      <c r="E6" s="15" t="s">
        <v>126</v>
      </c>
      <c r="F6" s="15" t="s">
        <v>126</v>
      </c>
      <c r="G6" s="15" t="s">
        <v>126</v>
      </c>
      <c r="H6" s="15" t="s">
        <v>126</v>
      </c>
      <c r="I6" s="15" t="s">
        <v>126</v>
      </c>
      <c r="J6" s="15" t="s">
        <v>126</v>
      </c>
      <c r="K6" s="15" t="s">
        <v>126</v>
      </c>
    </row>
    <row r="7" spans="1:13" ht="14.25">
      <c r="A7" s="228">
        <v>1</v>
      </c>
      <c r="B7" s="227" t="str">
        <f>ORÇAMENTO!B9</f>
        <v>Serviços Complementares</v>
      </c>
      <c r="C7" s="16">
        <f>C9/$C$41</f>
        <v>0.009976826274832689</v>
      </c>
      <c r="D7" s="17">
        <v>0.2818</v>
      </c>
      <c r="E7" s="17">
        <v>0.1026</v>
      </c>
      <c r="F7" s="17">
        <v>0.1026</v>
      </c>
      <c r="G7" s="17">
        <v>0.1026</v>
      </c>
      <c r="H7" s="17">
        <v>0.1026</v>
      </c>
      <c r="I7" s="17">
        <v>0.1026</v>
      </c>
      <c r="J7" s="17">
        <v>0.1026</v>
      </c>
      <c r="K7" s="17">
        <v>0.1026</v>
      </c>
      <c r="M7" s="88">
        <f>SUM(D7:K7)</f>
        <v>1</v>
      </c>
    </row>
    <row r="8" spans="1:13" ht="6" customHeight="1">
      <c r="A8" s="228"/>
      <c r="B8" s="227"/>
      <c r="C8" s="18"/>
      <c r="D8" s="19"/>
      <c r="E8" s="19"/>
      <c r="F8" s="19"/>
      <c r="G8" s="19"/>
      <c r="H8" s="19"/>
      <c r="I8" s="19"/>
      <c r="J8" s="19"/>
      <c r="K8" s="19"/>
      <c r="M8" s="88"/>
    </row>
    <row r="9" spans="1:13" ht="13.5" customHeight="1">
      <c r="A9" s="228"/>
      <c r="B9" s="227"/>
      <c r="C9" s="18">
        <f>ORÇAMENTO!I9</f>
        <v>22400.940000000002</v>
      </c>
      <c r="D9" s="20">
        <f>D7*C9</f>
        <v>6312.584892000001</v>
      </c>
      <c r="E9" s="20">
        <f>E7*C9</f>
        <v>2298.336444</v>
      </c>
      <c r="F9" s="20">
        <f>F7*C9</f>
        <v>2298.336444</v>
      </c>
      <c r="G9" s="20">
        <f>G7*C9</f>
        <v>2298.336444</v>
      </c>
      <c r="H9" s="20">
        <f>H7*C9</f>
        <v>2298.336444</v>
      </c>
      <c r="I9" s="20">
        <f>I7*C9</f>
        <v>2298.336444</v>
      </c>
      <c r="J9" s="20">
        <f>J7*C9</f>
        <v>2298.336444</v>
      </c>
      <c r="K9" s="20">
        <f>K7*C9</f>
        <v>2298.336444</v>
      </c>
      <c r="M9" s="88"/>
    </row>
    <row r="10" spans="1:13" ht="14.25">
      <c r="A10" s="228">
        <v>2</v>
      </c>
      <c r="B10" s="227" t="str">
        <f>ORÇAMENTO!B13</f>
        <v>Piso</v>
      </c>
      <c r="C10" s="16">
        <f>C12/$C$41</f>
        <v>0.2176166265099187</v>
      </c>
      <c r="D10" s="17"/>
      <c r="E10" s="17">
        <v>0.2</v>
      </c>
      <c r="F10" s="17">
        <v>0.2</v>
      </c>
      <c r="G10" s="17">
        <v>0.2</v>
      </c>
      <c r="H10" s="17">
        <v>0.2</v>
      </c>
      <c r="I10" s="17">
        <v>0.2</v>
      </c>
      <c r="J10" s="17"/>
      <c r="K10" s="17"/>
      <c r="M10" s="88">
        <f>SUM(D10:K10)</f>
        <v>1</v>
      </c>
    </row>
    <row r="11" spans="1:13" ht="6.75" customHeight="1">
      <c r="A11" s="228"/>
      <c r="B11" s="227"/>
      <c r="C11" s="18"/>
      <c r="D11" s="90"/>
      <c r="E11" s="19"/>
      <c r="F11" s="19"/>
      <c r="G11" s="19"/>
      <c r="H11" s="19"/>
      <c r="I11" s="19"/>
      <c r="J11" s="172"/>
      <c r="K11" s="172"/>
      <c r="M11" s="88"/>
    </row>
    <row r="12" spans="1:13" ht="14.25">
      <c r="A12" s="228"/>
      <c r="B12" s="227"/>
      <c r="C12" s="18">
        <f>ORÇAMENTO!I13</f>
        <v>488613.99999999994</v>
      </c>
      <c r="D12" s="20"/>
      <c r="E12" s="20">
        <f>E10*C12</f>
        <v>97722.79999999999</v>
      </c>
      <c r="F12" s="20">
        <f>F10*C12</f>
        <v>97722.79999999999</v>
      </c>
      <c r="G12" s="20">
        <f>G10*C12</f>
        <v>97722.79999999999</v>
      </c>
      <c r="H12" s="20">
        <f>H10*C12</f>
        <v>97722.79999999999</v>
      </c>
      <c r="I12" s="20">
        <f>I10*C12</f>
        <v>97722.79999999999</v>
      </c>
      <c r="J12" s="20"/>
      <c r="K12" s="20"/>
      <c r="M12" s="88"/>
    </row>
    <row r="13" spans="1:13" ht="14.25">
      <c r="A13" s="228">
        <v>3</v>
      </c>
      <c r="B13" s="227" t="str">
        <f>ORÇAMENTO!B25</f>
        <v>Revestimentos</v>
      </c>
      <c r="C13" s="16">
        <f>C15/$C$41</f>
        <v>0.03689904853976145</v>
      </c>
      <c r="D13" s="17">
        <v>0.2</v>
      </c>
      <c r="E13" s="17">
        <v>0.2</v>
      </c>
      <c r="F13" s="17">
        <v>0.2</v>
      </c>
      <c r="G13" s="17">
        <v>0.2</v>
      </c>
      <c r="H13" s="17">
        <v>0.2</v>
      </c>
      <c r="I13" s="17"/>
      <c r="J13" s="17"/>
      <c r="K13" s="17"/>
      <c r="M13" s="88">
        <f>SUM(D13:K13)</f>
        <v>1</v>
      </c>
    </row>
    <row r="14" spans="1:13" ht="6" customHeight="1">
      <c r="A14" s="228"/>
      <c r="B14" s="227"/>
      <c r="C14" s="18"/>
      <c r="D14" s="19"/>
      <c r="E14" s="19"/>
      <c r="F14" s="19"/>
      <c r="G14" s="19"/>
      <c r="H14" s="19"/>
      <c r="I14" s="172"/>
      <c r="J14" s="172"/>
      <c r="K14" s="172"/>
      <c r="M14" s="88"/>
    </row>
    <row r="15" spans="1:13" ht="14.25">
      <c r="A15" s="228"/>
      <c r="B15" s="227"/>
      <c r="C15" s="18">
        <f>ORÇAMENTO!I25</f>
        <v>82849.32999999999</v>
      </c>
      <c r="D15" s="20">
        <f>D13*C15</f>
        <v>16569.865999999998</v>
      </c>
      <c r="E15" s="20">
        <f>E13*C15</f>
        <v>16569.865999999998</v>
      </c>
      <c r="F15" s="20">
        <f>F13*C15</f>
        <v>16569.865999999998</v>
      </c>
      <c r="G15" s="20">
        <f>G13*C15</f>
        <v>16569.865999999998</v>
      </c>
      <c r="H15" s="20">
        <f>H13*C15</f>
        <v>16569.865999999998</v>
      </c>
      <c r="I15" s="20"/>
      <c r="J15" s="20"/>
      <c r="K15" s="20"/>
      <c r="M15" s="88"/>
    </row>
    <row r="16" spans="1:13" ht="14.25">
      <c r="A16" s="228">
        <v>4</v>
      </c>
      <c r="B16" s="227" t="str">
        <f>ORÇAMENTO!B31</f>
        <v>Divisórias</v>
      </c>
      <c r="C16" s="16">
        <f>C18/$C$41</f>
        <v>0.04877413132111924</v>
      </c>
      <c r="D16" s="17"/>
      <c r="E16" s="17"/>
      <c r="F16" s="17"/>
      <c r="G16" s="17"/>
      <c r="H16" s="17"/>
      <c r="I16" s="17"/>
      <c r="J16" s="17">
        <v>0.3</v>
      </c>
      <c r="K16" s="17">
        <v>0.7</v>
      </c>
      <c r="M16" s="88">
        <f>SUM(D16:K16)</f>
        <v>1</v>
      </c>
    </row>
    <row r="17" spans="1:13" ht="7.5" customHeight="1">
      <c r="A17" s="228"/>
      <c r="B17" s="227"/>
      <c r="C17" s="18"/>
      <c r="D17" s="90"/>
      <c r="E17" s="90"/>
      <c r="F17" s="90"/>
      <c r="G17" s="90"/>
      <c r="H17" s="172"/>
      <c r="I17" s="172"/>
      <c r="J17" s="19"/>
      <c r="K17" s="19"/>
      <c r="M17" s="88"/>
    </row>
    <row r="18" spans="1:13" ht="14.25">
      <c r="A18" s="228"/>
      <c r="B18" s="227"/>
      <c r="C18" s="18">
        <f>ORÇAMENTO!I31</f>
        <v>109512.42000000001</v>
      </c>
      <c r="D18" s="20"/>
      <c r="E18" s="20"/>
      <c r="F18" s="20"/>
      <c r="G18" s="20"/>
      <c r="H18" s="20"/>
      <c r="I18" s="20"/>
      <c r="J18" s="20">
        <f>J16*C18</f>
        <v>32853.726</v>
      </c>
      <c r="K18" s="20">
        <f>K16*C18</f>
        <v>76658.694</v>
      </c>
      <c r="M18" s="88"/>
    </row>
    <row r="19" spans="1:13" ht="14.25">
      <c r="A19" s="228">
        <v>5</v>
      </c>
      <c r="B19" s="227" t="str">
        <f>ORÇAMENTO!B37</f>
        <v>Forro</v>
      </c>
      <c r="C19" s="16">
        <f>C21/$C$41</f>
        <v>0.03928414928448737</v>
      </c>
      <c r="D19" s="17">
        <v>0.3</v>
      </c>
      <c r="E19" s="17">
        <v>0.5</v>
      </c>
      <c r="F19" s="17">
        <v>0.2</v>
      </c>
      <c r="G19" s="17"/>
      <c r="H19" s="17"/>
      <c r="I19" s="17"/>
      <c r="J19" s="17"/>
      <c r="K19" s="17"/>
      <c r="M19" s="88">
        <f>SUM(D19:K19)</f>
        <v>1</v>
      </c>
    </row>
    <row r="20" spans="1:13" ht="6" customHeight="1">
      <c r="A20" s="228"/>
      <c r="B20" s="227"/>
      <c r="C20" s="18"/>
      <c r="D20" s="19"/>
      <c r="E20" s="19"/>
      <c r="F20" s="19"/>
      <c r="G20" s="90"/>
      <c r="H20" s="172"/>
      <c r="I20" s="172"/>
      <c r="J20" s="172"/>
      <c r="K20" s="172"/>
      <c r="M20" s="88"/>
    </row>
    <row r="21" spans="1:13" ht="14.25">
      <c r="A21" s="228"/>
      <c r="B21" s="227"/>
      <c r="C21" s="18">
        <f>ORÇAMENTO!I37</f>
        <v>88204.59</v>
      </c>
      <c r="D21" s="20">
        <f>D19*C21</f>
        <v>26461.376999999997</v>
      </c>
      <c r="E21" s="20">
        <f>E19*C21</f>
        <v>44102.295</v>
      </c>
      <c r="F21" s="20">
        <f>F19*C21</f>
        <v>17640.918</v>
      </c>
      <c r="G21" s="20"/>
      <c r="H21" s="20"/>
      <c r="I21" s="20"/>
      <c r="J21" s="20"/>
      <c r="K21" s="20"/>
      <c r="M21" s="88"/>
    </row>
    <row r="22" spans="1:13" ht="14.25">
      <c r="A22" s="228">
        <v>6</v>
      </c>
      <c r="B22" s="227" t="str">
        <f>ORÇAMENTO!B41</f>
        <v>Esquadrias</v>
      </c>
      <c r="C22" s="16">
        <f>C24/$C$41</f>
        <v>0.053553654516442874</v>
      </c>
      <c r="D22" s="17">
        <v>0.15</v>
      </c>
      <c r="E22" s="17">
        <v>0.15</v>
      </c>
      <c r="F22" s="17">
        <v>0.2</v>
      </c>
      <c r="G22" s="17">
        <v>0.2</v>
      </c>
      <c r="H22" s="17">
        <v>0.2</v>
      </c>
      <c r="I22" s="17">
        <v>0.1</v>
      </c>
      <c r="J22" s="17"/>
      <c r="K22" s="17"/>
      <c r="M22" s="88">
        <f>SUM(D22:K22)</f>
        <v>0.9999999999999999</v>
      </c>
    </row>
    <row r="23" spans="1:13" ht="6.75" customHeight="1">
      <c r="A23" s="228"/>
      <c r="B23" s="227"/>
      <c r="C23" s="18"/>
      <c r="D23" s="19"/>
      <c r="E23" s="19"/>
      <c r="F23" s="19"/>
      <c r="G23" s="19"/>
      <c r="H23" s="19"/>
      <c r="I23" s="19"/>
      <c r="J23" s="172"/>
      <c r="K23" s="172"/>
      <c r="M23" s="88"/>
    </row>
    <row r="24" spans="1:13" ht="14.25">
      <c r="A24" s="228"/>
      <c r="B24" s="227"/>
      <c r="C24" s="18">
        <f>ORÇAMENTO!I41</f>
        <v>120243.87</v>
      </c>
      <c r="D24" s="20">
        <f>D22*C24</f>
        <v>18036.5805</v>
      </c>
      <c r="E24" s="20">
        <f>E22*C24</f>
        <v>18036.5805</v>
      </c>
      <c r="F24" s="20">
        <f>F22*C24</f>
        <v>24048.774</v>
      </c>
      <c r="G24" s="20">
        <f>G22*C24</f>
        <v>24048.774</v>
      </c>
      <c r="H24" s="20">
        <f>H22*C24</f>
        <v>24048.774</v>
      </c>
      <c r="I24" s="20">
        <f>I22*C24</f>
        <v>12024.387</v>
      </c>
      <c r="J24" s="20"/>
      <c r="K24" s="20"/>
      <c r="M24" s="88"/>
    </row>
    <row r="25" spans="1:13" ht="14.25">
      <c r="A25" s="228">
        <v>7</v>
      </c>
      <c r="B25" s="227" t="str">
        <f>ORÇAMENTO!B53</f>
        <v>Hidráulica</v>
      </c>
      <c r="C25" s="16">
        <f>C27/$C$41</f>
        <v>0.01753712612093012</v>
      </c>
      <c r="D25" s="17"/>
      <c r="E25" s="17">
        <v>0.25</v>
      </c>
      <c r="F25" s="17">
        <v>0.25</v>
      </c>
      <c r="G25" s="17">
        <v>0.25</v>
      </c>
      <c r="H25" s="17">
        <v>0.25</v>
      </c>
      <c r="I25" s="17"/>
      <c r="J25" s="17"/>
      <c r="K25" s="17"/>
      <c r="M25" s="88">
        <f>SUM(D25:K25)</f>
        <v>1</v>
      </c>
    </row>
    <row r="26" spans="1:13" ht="6" customHeight="1">
      <c r="A26" s="228"/>
      <c r="B26" s="227"/>
      <c r="C26" s="18"/>
      <c r="D26" s="90"/>
      <c r="E26" s="19"/>
      <c r="F26" s="19"/>
      <c r="G26" s="19"/>
      <c r="H26" s="19"/>
      <c r="I26" s="172"/>
      <c r="J26" s="172"/>
      <c r="K26" s="172"/>
      <c r="M26" s="88"/>
    </row>
    <row r="27" spans="1:13" ht="14.25">
      <c r="A27" s="228"/>
      <c r="B27" s="227"/>
      <c r="C27" s="18">
        <f>ORÇAMENTO!I53</f>
        <v>39376.06</v>
      </c>
      <c r="D27" s="20"/>
      <c r="E27" s="20">
        <f>E25*C27</f>
        <v>9844.015</v>
      </c>
      <c r="F27" s="20">
        <f>F25*C27</f>
        <v>9844.015</v>
      </c>
      <c r="G27" s="20">
        <f>G25*C27</f>
        <v>9844.015</v>
      </c>
      <c r="H27" s="20">
        <f>H25*C27</f>
        <v>9844.015</v>
      </c>
      <c r="I27" s="20"/>
      <c r="J27" s="20"/>
      <c r="K27" s="20"/>
      <c r="M27" s="88"/>
    </row>
    <row r="28" spans="1:13" ht="14.25">
      <c r="A28" s="228">
        <v>8</v>
      </c>
      <c r="B28" s="227" t="str">
        <f>ORÇAMENTO!B71</f>
        <v>Elétrica</v>
      </c>
      <c r="C28" s="16">
        <f>C30/$C$41</f>
        <v>0.09561008269021169</v>
      </c>
      <c r="D28" s="17">
        <v>0.4</v>
      </c>
      <c r="E28" s="17">
        <v>0.3</v>
      </c>
      <c r="F28" s="17">
        <v>0.3</v>
      </c>
      <c r="G28" s="17"/>
      <c r="H28" s="17"/>
      <c r="I28" s="17"/>
      <c r="J28" s="17"/>
      <c r="K28" s="17"/>
      <c r="M28" s="88">
        <f>SUM(D28:K28)</f>
        <v>1</v>
      </c>
    </row>
    <row r="29" spans="1:13" ht="7.5" customHeight="1">
      <c r="A29" s="228"/>
      <c r="B29" s="227"/>
      <c r="C29" s="18"/>
      <c r="D29" s="19"/>
      <c r="E29" s="19"/>
      <c r="F29" s="19"/>
      <c r="G29" s="90"/>
      <c r="H29" s="172"/>
      <c r="I29" s="172"/>
      <c r="J29" s="172"/>
      <c r="K29" s="172"/>
      <c r="M29" s="88"/>
    </row>
    <row r="30" spans="1:13" ht="14.25">
      <c r="A30" s="228"/>
      <c r="B30" s="227"/>
      <c r="C30" s="18">
        <f>ORÇAMENTO!I71</f>
        <v>214673.04999999996</v>
      </c>
      <c r="D30" s="20">
        <f>D28*C30</f>
        <v>85869.21999999999</v>
      </c>
      <c r="E30" s="20">
        <f>E28*C30</f>
        <v>64401.914999999986</v>
      </c>
      <c r="F30" s="20">
        <f>F28*C30</f>
        <v>64401.914999999986</v>
      </c>
      <c r="G30" s="20"/>
      <c r="H30" s="20"/>
      <c r="I30" s="20"/>
      <c r="J30" s="20"/>
      <c r="K30" s="20"/>
      <c r="M30" s="88"/>
    </row>
    <row r="31" spans="1:13" ht="14.25">
      <c r="A31" s="228">
        <v>9</v>
      </c>
      <c r="B31" s="227" t="str">
        <f>ORÇAMENTO!B91</f>
        <v>Informática</v>
      </c>
      <c r="C31" s="16">
        <f>C33/$C$41</f>
        <v>0.04620091739392414</v>
      </c>
      <c r="D31" s="17"/>
      <c r="E31" s="17"/>
      <c r="F31" s="17"/>
      <c r="G31" s="17"/>
      <c r="H31" s="17"/>
      <c r="I31" s="17"/>
      <c r="J31" s="17">
        <v>0.4</v>
      </c>
      <c r="K31" s="17">
        <v>0.6</v>
      </c>
      <c r="M31" s="88">
        <f>SUM(D31:K31)</f>
        <v>1</v>
      </c>
    </row>
    <row r="32" spans="1:13" ht="6.75" customHeight="1">
      <c r="A32" s="228"/>
      <c r="B32" s="227"/>
      <c r="C32" s="18"/>
      <c r="D32" s="90"/>
      <c r="E32" s="90"/>
      <c r="F32" s="90"/>
      <c r="G32" s="90"/>
      <c r="H32" s="172"/>
      <c r="I32" s="172"/>
      <c r="J32" s="19"/>
      <c r="K32" s="19"/>
      <c r="M32" s="88"/>
    </row>
    <row r="33" spans="1:13" ht="14.25">
      <c r="A33" s="228"/>
      <c r="B33" s="227"/>
      <c r="C33" s="18">
        <f>ORÇAMENTO!I91</f>
        <v>103734.79</v>
      </c>
      <c r="D33" s="20"/>
      <c r="E33" s="20"/>
      <c r="F33" s="20"/>
      <c r="G33" s="20"/>
      <c r="H33" s="20"/>
      <c r="I33" s="20"/>
      <c r="J33" s="20">
        <f>J31*C33</f>
        <v>41493.916</v>
      </c>
      <c r="K33" s="20">
        <f>K31*C33</f>
        <v>62240.873999999996</v>
      </c>
      <c r="M33" s="88"/>
    </row>
    <row r="34" spans="1:13" ht="14.25">
      <c r="A34" s="228">
        <v>10</v>
      </c>
      <c r="B34" s="227" t="str">
        <f>ORÇAMENTO!B105</f>
        <v>Pintura</v>
      </c>
      <c r="C34" s="16">
        <f>C36/$C$41</f>
        <v>0.19715325969832975</v>
      </c>
      <c r="D34" s="17"/>
      <c r="E34" s="17">
        <v>0.1</v>
      </c>
      <c r="F34" s="17">
        <v>0.1</v>
      </c>
      <c r="G34" s="17">
        <v>0.2</v>
      </c>
      <c r="H34" s="17">
        <v>0.2</v>
      </c>
      <c r="I34" s="17">
        <v>0.2</v>
      </c>
      <c r="J34" s="17">
        <v>0.1</v>
      </c>
      <c r="K34" s="17">
        <v>0.1</v>
      </c>
      <c r="M34" s="88">
        <f>SUM(D34:K34)</f>
        <v>1</v>
      </c>
    </row>
    <row r="35" spans="1:13" ht="7.5" customHeight="1">
      <c r="A35" s="228"/>
      <c r="B35" s="227"/>
      <c r="C35" s="18"/>
      <c r="D35" s="90"/>
      <c r="E35" s="19"/>
      <c r="F35" s="19"/>
      <c r="G35" s="19"/>
      <c r="H35" s="19"/>
      <c r="I35" s="19"/>
      <c r="J35" s="19"/>
      <c r="K35" s="19"/>
      <c r="M35" s="88"/>
    </row>
    <row r="36" spans="1:13" ht="14.25">
      <c r="A36" s="228"/>
      <c r="B36" s="227"/>
      <c r="C36" s="18">
        <f>ORÇAMENTO!I105</f>
        <v>442667.66000000003</v>
      </c>
      <c r="D36" s="20"/>
      <c r="E36" s="20">
        <f>E34*C36</f>
        <v>44266.766</v>
      </c>
      <c r="F36" s="20">
        <f>F34*C36</f>
        <v>44266.766</v>
      </c>
      <c r="G36" s="20">
        <f>G34*C36</f>
        <v>88533.532</v>
      </c>
      <c r="H36" s="20">
        <f>H34*C36</f>
        <v>88533.532</v>
      </c>
      <c r="I36" s="20">
        <f>I34*C36</f>
        <v>88533.532</v>
      </c>
      <c r="J36" s="20">
        <f>J34*C36</f>
        <v>44266.766</v>
      </c>
      <c r="K36" s="20">
        <f>K34*C36</f>
        <v>44266.766</v>
      </c>
      <c r="M36" s="88"/>
    </row>
    <row r="37" spans="1:13" ht="14.25">
      <c r="A37" s="228">
        <v>11</v>
      </c>
      <c r="B37" s="227" t="str">
        <f>ORÇAMENTO!B112</f>
        <v>Serviços Complementares</v>
      </c>
      <c r="C37" s="16">
        <f>C39/$C$41</f>
        <v>0.23739417765004195</v>
      </c>
      <c r="D37" s="17">
        <v>0.1</v>
      </c>
      <c r="E37" s="17">
        <v>0.15</v>
      </c>
      <c r="F37" s="17">
        <v>0.15</v>
      </c>
      <c r="G37" s="17">
        <v>0.15</v>
      </c>
      <c r="H37" s="17">
        <v>0.15</v>
      </c>
      <c r="I37" s="17">
        <v>0.2</v>
      </c>
      <c r="J37" s="17">
        <v>0.1</v>
      </c>
      <c r="K37" s="17"/>
      <c r="M37" s="88">
        <f>SUM(D37:K37)</f>
        <v>1.0000000000000002</v>
      </c>
    </row>
    <row r="38" spans="1:13" ht="7.5" customHeight="1">
      <c r="A38" s="228"/>
      <c r="B38" s="227"/>
      <c r="C38" s="18"/>
      <c r="D38" s="19"/>
      <c r="E38" s="19"/>
      <c r="F38" s="19"/>
      <c r="G38" s="19"/>
      <c r="H38" s="19"/>
      <c r="I38" s="19"/>
      <c r="J38" s="19"/>
      <c r="K38" s="90"/>
      <c r="M38" s="88"/>
    </row>
    <row r="39" spans="1:13" ht="14.25">
      <c r="A39" s="228"/>
      <c r="B39" s="227"/>
      <c r="C39" s="18">
        <f>ORÇAMENTO!I112</f>
        <v>533020.48</v>
      </c>
      <c r="D39" s="20">
        <f>D37*C39</f>
        <v>53302.048</v>
      </c>
      <c r="E39" s="20">
        <f>E37*C39</f>
        <v>79953.072</v>
      </c>
      <c r="F39" s="20">
        <f>F37*C39</f>
        <v>79953.072</v>
      </c>
      <c r="G39" s="20">
        <f>G37*C39</f>
        <v>79953.072</v>
      </c>
      <c r="H39" s="20">
        <f>H37*C39</f>
        <v>79953.072</v>
      </c>
      <c r="I39" s="20">
        <f>I37*C39</f>
        <v>106604.096</v>
      </c>
      <c r="J39" s="20">
        <f>J37*C39</f>
        <v>53302.048</v>
      </c>
      <c r="K39" s="20"/>
      <c r="M39" s="88"/>
    </row>
    <row r="40" spans="1:11" ht="14.25">
      <c r="A40" s="229"/>
      <c r="B40" s="230"/>
      <c r="C40" s="230"/>
      <c r="D40" s="230"/>
      <c r="E40" s="230"/>
      <c r="F40" s="230"/>
      <c r="G40" s="230"/>
      <c r="H40" s="173"/>
      <c r="I40" s="173"/>
      <c r="J40" s="173"/>
      <c r="K40" s="173"/>
    </row>
    <row r="41" spans="1:11" ht="14.25">
      <c r="A41" s="246" t="s">
        <v>23</v>
      </c>
      <c r="B41" s="246"/>
      <c r="C41" s="21">
        <f>SUM(C9,C12,C15,C18,C21,C24,C27,C30,C33,C36,C39)</f>
        <v>2245297.19</v>
      </c>
      <c r="D41" s="22"/>
      <c r="E41" s="22"/>
      <c r="F41" s="22"/>
      <c r="G41" s="22"/>
      <c r="H41" s="22"/>
      <c r="I41" s="22"/>
      <c r="J41" s="22"/>
      <c r="K41" s="22"/>
    </row>
    <row r="42" spans="1:11" ht="14.25">
      <c r="A42" s="243" t="s">
        <v>24</v>
      </c>
      <c r="B42" s="243"/>
      <c r="C42" s="23" t="s">
        <v>25</v>
      </c>
      <c r="D42" s="24">
        <f aca="true" t="shared" si="0" ref="D42:K42">SUM(D9,D12,D15,D18,D21,D24,D27,D30,D33,D36,D39)</f>
        <v>206551.676392</v>
      </c>
      <c r="E42" s="24">
        <f t="shared" si="0"/>
        <v>377195.64594399993</v>
      </c>
      <c r="F42" s="24">
        <f t="shared" si="0"/>
        <v>356746.46244399995</v>
      </c>
      <c r="G42" s="24">
        <f t="shared" si="0"/>
        <v>318970.39544399997</v>
      </c>
      <c r="H42" s="24">
        <f t="shared" si="0"/>
        <v>318970.39544399997</v>
      </c>
      <c r="I42" s="24">
        <f t="shared" si="0"/>
        <v>307183.151444</v>
      </c>
      <c r="J42" s="24">
        <f t="shared" si="0"/>
        <v>174214.79244400002</v>
      </c>
      <c r="K42" s="24">
        <f t="shared" si="0"/>
        <v>185464.670444</v>
      </c>
    </row>
    <row r="43" spans="1:11" ht="14.25">
      <c r="A43" s="243"/>
      <c r="B43" s="243"/>
      <c r="C43" s="23" t="s">
        <v>26</v>
      </c>
      <c r="D43" s="24">
        <f>D42</f>
        <v>206551.676392</v>
      </c>
      <c r="E43" s="24">
        <f aca="true" t="shared" si="1" ref="E43:K43">D43+E42</f>
        <v>583747.3223359999</v>
      </c>
      <c r="F43" s="24">
        <f t="shared" si="1"/>
        <v>940493.7847799999</v>
      </c>
      <c r="G43" s="24">
        <f t="shared" si="1"/>
        <v>1259464.1802239998</v>
      </c>
      <c r="H43" s="24">
        <f>G43+H42</f>
        <v>1578434.5756679997</v>
      </c>
      <c r="I43" s="24">
        <f t="shared" si="1"/>
        <v>1885617.7271119996</v>
      </c>
      <c r="J43" s="24">
        <f t="shared" si="1"/>
        <v>2059832.5195559997</v>
      </c>
      <c r="K43" s="24">
        <f t="shared" si="1"/>
        <v>2245297.1899999995</v>
      </c>
    </row>
    <row r="44" spans="1:11" ht="14.25">
      <c r="A44" s="226" t="s">
        <v>27</v>
      </c>
      <c r="B44" s="226"/>
      <c r="C44" s="23" t="s">
        <v>25</v>
      </c>
      <c r="D44" s="22">
        <f aca="true" t="shared" si="2" ref="D44:K44">D42/$C$41</f>
        <v>0.09199302315610167</v>
      </c>
      <c r="E44" s="22">
        <f t="shared" si="2"/>
        <v>0.16799363916007926</v>
      </c>
      <c r="F44" s="22">
        <f t="shared" si="2"/>
        <v>0.15888607710055522</v>
      </c>
      <c r="G44" s="22">
        <f t="shared" si="2"/>
        <v>0.1420615484064272</v>
      </c>
      <c r="H44" s="22">
        <f t="shared" si="2"/>
        <v>0.1420615484064272</v>
      </c>
      <c r="I44" s="22">
        <f t="shared" si="2"/>
        <v>0.13681180059910023</v>
      </c>
      <c r="J44" s="22">
        <f t="shared" si="2"/>
        <v>0.07759097246454044</v>
      </c>
      <c r="K44" s="22">
        <f t="shared" si="2"/>
        <v>0.08260139070676875</v>
      </c>
    </row>
    <row r="45" spans="1:11" ht="14.25">
      <c r="A45" s="226"/>
      <c r="B45" s="226"/>
      <c r="C45" s="23" t="s">
        <v>26</v>
      </c>
      <c r="D45" s="22">
        <f>D44</f>
        <v>0.09199302315610167</v>
      </c>
      <c r="E45" s="22">
        <f aca="true" t="shared" si="3" ref="E45:K45">D45+E44</f>
        <v>0.25998666231618095</v>
      </c>
      <c r="F45" s="22">
        <f t="shared" si="3"/>
        <v>0.4188727394167362</v>
      </c>
      <c r="G45" s="22">
        <f t="shared" si="3"/>
        <v>0.5609342878231633</v>
      </c>
      <c r="H45" s="22">
        <f t="shared" si="3"/>
        <v>0.7029958362295905</v>
      </c>
      <c r="I45" s="22">
        <f t="shared" si="3"/>
        <v>0.8398076368286908</v>
      </c>
      <c r="J45" s="22">
        <f t="shared" si="3"/>
        <v>0.9173986092932311</v>
      </c>
      <c r="K45" s="22">
        <f t="shared" si="3"/>
        <v>0.9999999999999999</v>
      </c>
    </row>
    <row r="46" spans="1:4" ht="14.25">
      <c r="A46" s="25"/>
      <c r="B46" s="26"/>
      <c r="C46" s="27"/>
      <c r="D46" s="27"/>
    </row>
    <row r="47" spans="1:4" ht="14.25">
      <c r="A47" s="25"/>
      <c r="B47" s="26"/>
      <c r="C47" s="27"/>
      <c r="D47" s="27"/>
    </row>
    <row r="48" spans="1:5" ht="15">
      <c r="A48" s="186" t="s">
        <v>529</v>
      </c>
      <c r="B48" s="186"/>
      <c r="C48" s="186"/>
      <c r="D48" s="186"/>
      <c r="E48" s="66"/>
    </row>
    <row r="49" spans="1:5" ht="14.25">
      <c r="A49" s="2"/>
      <c r="B49" s="2"/>
      <c r="C49" s="3"/>
      <c r="D49" s="52"/>
      <c r="E49" s="5"/>
    </row>
    <row r="50" spans="1:5" ht="14.25">
      <c r="A50" s="2"/>
      <c r="B50" s="2"/>
      <c r="C50" s="3"/>
      <c r="D50" s="52"/>
      <c r="E50" s="5"/>
    </row>
    <row r="51" spans="1:5" ht="14.25">
      <c r="A51" s="2"/>
      <c r="B51" s="2"/>
      <c r="C51" s="3"/>
      <c r="D51" s="52"/>
      <c r="E51" s="5"/>
    </row>
    <row r="52" spans="1:5" ht="16.5">
      <c r="A52" s="186" t="s">
        <v>65</v>
      </c>
      <c r="B52" s="186"/>
      <c r="C52" s="186"/>
      <c r="D52" s="186"/>
      <c r="E52" s="66"/>
    </row>
    <row r="53" spans="1:5" ht="15">
      <c r="A53" s="186" t="s">
        <v>63</v>
      </c>
      <c r="B53" s="186"/>
      <c r="C53" s="186"/>
      <c r="D53" s="186"/>
      <c r="E53" s="66"/>
    </row>
    <row r="54" spans="1:5" ht="15">
      <c r="A54" s="187" t="s">
        <v>64</v>
      </c>
      <c r="B54" s="187"/>
      <c r="C54" s="187"/>
      <c r="D54" s="187"/>
      <c r="E54" s="67"/>
    </row>
  </sheetData>
  <sheetProtection/>
  <mergeCells count="36">
    <mergeCell ref="A28:A30"/>
    <mergeCell ref="B28:B30"/>
    <mergeCell ref="A31:A33"/>
    <mergeCell ref="B31:B33"/>
    <mergeCell ref="A34:A36"/>
    <mergeCell ref="B34:B36"/>
    <mergeCell ref="B1:K2"/>
    <mergeCell ref="B3:K3"/>
    <mergeCell ref="A53:D53"/>
    <mergeCell ref="A54:D54"/>
    <mergeCell ref="A1:A3"/>
    <mergeCell ref="A42:B43"/>
    <mergeCell ref="A4:D4"/>
    <mergeCell ref="A5:A6"/>
    <mergeCell ref="A44:B45"/>
    <mergeCell ref="A41:B41"/>
    <mergeCell ref="A40:G40"/>
    <mergeCell ref="A7:A9"/>
    <mergeCell ref="B10:B12"/>
    <mergeCell ref="A13:A15"/>
    <mergeCell ref="B13:B15"/>
    <mergeCell ref="A16:A18"/>
    <mergeCell ref="A25:A27"/>
    <mergeCell ref="B25:B27"/>
    <mergeCell ref="A37:A39"/>
    <mergeCell ref="B37:B39"/>
    <mergeCell ref="B5:B6"/>
    <mergeCell ref="B7:B9"/>
    <mergeCell ref="A10:A12"/>
    <mergeCell ref="A48:D48"/>
    <mergeCell ref="A52:D52"/>
    <mergeCell ref="A22:A24"/>
    <mergeCell ref="B22:B24"/>
    <mergeCell ref="A19:A21"/>
    <mergeCell ref="B19:B21"/>
    <mergeCell ref="B16:B1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8.796875" defaultRowHeight="14.25"/>
  <sheetData/>
  <sheetProtection/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14" sqref="H14"/>
    </sheetView>
  </sheetViews>
  <sheetFormatPr defaultColWidth="8.796875" defaultRowHeight="14.25"/>
  <cols>
    <col min="3" max="3" width="20.59765625" style="0" customWidth="1"/>
    <col min="4" max="4" width="12.8984375" style="0" customWidth="1"/>
    <col min="5" max="5" width="14.19921875" style="0" customWidth="1"/>
  </cols>
  <sheetData>
    <row r="1" spans="1:5" ht="18">
      <c r="A1" s="251"/>
      <c r="B1" s="251"/>
      <c r="C1" s="252" t="s">
        <v>58</v>
      </c>
      <c r="D1" s="252"/>
      <c r="E1" s="252"/>
    </row>
    <row r="2" spans="1:5" ht="14.25">
      <c r="A2" s="251"/>
      <c r="B2" s="251"/>
      <c r="C2" s="251"/>
      <c r="D2" s="251"/>
      <c r="E2" s="251"/>
    </row>
    <row r="3" spans="1:5" ht="57" customHeight="1">
      <c r="A3" s="251"/>
      <c r="B3" s="251"/>
      <c r="C3" s="253" t="str">
        <f>ORÇAMENTO!C3</f>
        <v>OBRA: REFORMA DO SUS</v>
      </c>
      <c r="D3" s="253"/>
      <c r="E3" s="253"/>
    </row>
    <row r="4" spans="1:5" ht="14.25">
      <c r="A4" s="254"/>
      <c r="B4" s="254"/>
      <c r="C4" s="254"/>
      <c r="D4" s="254"/>
      <c r="E4" s="254"/>
    </row>
    <row r="5" spans="1:5" ht="21.75" customHeight="1">
      <c r="A5" s="248" t="s">
        <v>28</v>
      </c>
      <c r="B5" s="248"/>
      <c r="C5" s="248"/>
      <c r="D5" s="248"/>
      <c r="E5" s="28">
        <v>0.5</v>
      </c>
    </row>
    <row r="6" spans="1:5" ht="24" customHeight="1">
      <c r="A6" s="248" t="s">
        <v>29</v>
      </c>
      <c r="B6" s="248"/>
      <c r="C6" s="248"/>
      <c r="D6" s="248"/>
      <c r="E6" s="28">
        <v>0.05</v>
      </c>
    </row>
    <row r="7" ht="14.25">
      <c r="E7" s="29"/>
    </row>
    <row r="8" spans="2:5" ht="15">
      <c r="B8" s="30" t="s">
        <v>30</v>
      </c>
      <c r="C8" s="30"/>
      <c r="D8" s="31"/>
      <c r="E8" s="32"/>
    </row>
    <row r="9" ht="14.25">
      <c r="E9" s="29"/>
    </row>
    <row r="10" spans="1:5" ht="14.25">
      <c r="A10" s="33"/>
      <c r="B10" s="249" t="s">
        <v>16</v>
      </c>
      <c r="C10" s="249" t="s">
        <v>31</v>
      </c>
      <c r="D10" s="250" t="s">
        <v>32</v>
      </c>
      <c r="E10" s="34" t="s">
        <v>33</v>
      </c>
    </row>
    <row r="11" spans="1:5" ht="25.5">
      <c r="A11" s="33"/>
      <c r="B11" s="249"/>
      <c r="C11" s="249"/>
      <c r="D11" s="250"/>
      <c r="E11" s="35" t="s">
        <v>34</v>
      </c>
    </row>
    <row r="12" spans="1:5" ht="14.25">
      <c r="A12" s="33"/>
      <c r="B12" s="36" t="s">
        <v>12</v>
      </c>
      <c r="C12" s="37" t="s">
        <v>35</v>
      </c>
      <c r="D12" s="38" t="s">
        <v>36</v>
      </c>
      <c r="E12" s="39">
        <v>0.049</v>
      </c>
    </row>
    <row r="13" spans="1:5" ht="14.25">
      <c r="A13" s="33"/>
      <c r="B13" s="36" t="s">
        <v>13</v>
      </c>
      <c r="C13" s="37" t="s">
        <v>37</v>
      </c>
      <c r="D13" s="40" t="s">
        <v>38</v>
      </c>
      <c r="E13" s="39">
        <v>0.01</v>
      </c>
    </row>
    <row r="14" spans="1:5" ht="14.25">
      <c r="A14" s="33"/>
      <c r="B14" s="36" t="s">
        <v>14</v>
      </c>
      <c r="C14" s="37" t="s">
        <v>39</v>
      </c>
      <c r="D14" s="40" t="s">
        <v>40</v>
      </c>
      <c r="E14" s="39">
        <v>0.0127</v>
      </c>
    </row>
    <row r="15" spans="1:5" ht="14.25">
      <c r="A15" s="33"/>
      <c r="B15" s="36" t="s">
        <v>17</v>
      </c>
      <c r="C15" s="37" t="s">
        <v>41</v>
      </c>
      <c r="D15" s="40" t="s">
        <v>42</v>
      </c>
      <c r="E15" s="39">
        <v>0.0139</v>
      </c>
    </row>
    <row r="16" spans="1:5" ht="14.25">
      <c r="A16" s="33"/>
      <c r="B16" s="36" t="s">
        <v>43</v>
      </c>
      <c r="C16" s="37" t="s">
        <v>44</v>
      </c>
      <c r="D16" s="40" t="s">
        <v>45</v>
      </c>
      <c r="E16" s="39">
        <v>0.073</v>
      </c>
    </row>
    <row r="17" spans="1:5" ht="42.75">
      <c r="A17" s="33"/>
      <c r="B17" s="36" t="s">
        <v>46</v>
      </c>
      <c r="C17" s="41" t="s">
        <v>47</v>
      </c>
      <c r="D17" s="40" t="s">
        <v>48</v>
      </c>
      <c r="E17" s="39">
        <v>0.0365</v>
      </c>
    </row>
    <row r="18" spans="1:5" ht="14.25">
      <c r="A18" s="33"/>
      <c r="B18" s="36" t="s">
        <v>49</v>
      </c>
      <c r="C18" s="37" t="s">
        <v>50</v>
      </c>
      <c r="D18" s="40" t="s">
        <v>51</v>
      </c>
      <c r="E18" s="39">
        <v>0.025</v>
      </c>
    </row>
    <row r="19" spans="1:5" ht="42.75">
      <c r="A19" s="42"/>
      <c r="B19" s="36" t="s">
        <v>52</v>
      </c>
      <c r="C19" s="41" t="s">
        <v>53</v>
      </c>
      <c r="D19" s="43" t="s">
        <v>54</v>
      </c>
      <c r="E19" s="39">
        <v>0</v>
      </c>
    </row>
    <row r="20" spans="1:5" ht="15">
      <c r="A20" s="33"/>
      <c r="B20" s="44" t="s">
        <v>55</v>
      </c>
      <c r="C20" s="45" t="s">
        <v>56</v>
      </c>
      <c r="D20" s="46"/>
      <c r="E20" s="47">
        <f>(((1+E12+E13+E14)*(1+E15)*(1+E16))/(1-E17-E18-E19))-1</f>
        <v>0.24232092060735178</v>
      </c>
    </row>
    <row r="21" spans="1:5" ht="14.25">
      <c r="A21" s="33"/>
      <c r="B21" s="33"/>
      <c r="C21" s="33"/>
      <c r="D21" s="33"/>
      <c r="E21" s="48"/>
    </row>
    <row r="22" spans="1:5" ht="14.25">
      <c r="A22" s="33"/>
      <c r="B22" s="33"/>
      <c r="C22" s="33"/>
      <c r="D22" s="33"/>
      <c r="E22" s="48"/>
    </row>
    <row r="23" spans="1:5" ht="14.25">
      <c r="A23" s="247" t="s">
        <v>57</v>
      </c>
      <c r="B23" s="247"/>
      <c r="C23" s="247"/>
      <c r="D23" s="247"/>
      <c r="E23" s="247"/>
    </row>
    <row r="24" ht="14.25">
      <c r="E24" s="29"/>
    </row>
    <row r="25" spans="1:9" ht="14.25">
      <c r="A25" s="1"/>
      <c r="B25" s="2"/>
      <c r="C25" s="2"/>
      <c r="D25" s="3"/>
      <c r="E25" s="52"/>
      <c r="F25" s="51"/>
      <c r="G25" s="53"/>
      <c r="H25" s="54"/>
      <c r="I25" s="5"/>
    </row>
    <row r="26" spans="1:9" ht="15">
      <c r="A26" s="1"/>
      <c r="B26" s="186" t="s">
        <v>529</v>
      </c>
      <c r="C26" s="186"/>
      <c r="D26" s="186"/>
      <c r="E26" s="186"/>
      <c r="F26" s="186"/>
      <c r="G26" s="186"/>
      <c r="H26" s="186"/>
      <c r="I26" s="186"/>
    </row>
    <row r="27" spans="1:9" ht="14.25">
      <c r="A27" s="1"/>
      <c r="B27" s="2"/>
      <c r="C27" s="2"/>
      <c r="D27" s="3"/>
      <c r="E27" s="52"/>
      <c r="F27" s="51"/>
      <c r="G27" s="53"/>
      <c r="H27" s="54"/>
      <c r="I27" s="5"/>
    </row>
    <row r="28" spans="1:9" ht="14.25">
      <c r="A28" s="1"/>
      <c r="B28" s="2"/>
      <c r="C28" s="2"/>
      <c r="D28" s="3"/>
      <c r="E28" s="52"/>
      <c r="F28" s="51"/>
      <c r="G28" s="53"/>
      <c r="H28" s="54"/>
      <c r="I28" s="5"/>
    </row>
    <row r="29" spans="1:9" ht="15">
      <c r="A29" s="186" t="s">
        <v>517</v>
      </c>
      <c r="B29" s="186"/>
      <c r="C29" s="186"/>
      <c r="D29" s="3"/>
      <c r="E29" s="52"/>
      <c r="F29" s="51"/>
      <c r="G29" s="53"/>
      <c r="H29" s="54"/>
      <c r="I29" s="5"/>
    </row>
    <row r="30" spans="1:9" ht="16.5">
      <c r="A30" s="1"/>
      <c r="B30" s="186" t="s">
        <v>65</v>
      </c>
      <c r="C30" s="186"/>
      <c r="D30" s="186"/>
      <c r="E30" s="186"/>
      <c r="F30" s="186"/>
      <c r="G30" s="186"/>
      <c r="H30" s="186"/>
      <c r="I30" s="186"/>
    </row>
    <row r="31" spans="1:9" ht="15">
      <c r="A31" s="1"/>
      <c r="B31" s="186" t="s">
        <v>63</v>
      </c>
      <c r="C31" s="186"/>
      <c r="D31" s="186"/>
      <c r="E31" s="186"/>
      <c r="F31" s="186"/>
      <c r="G31" s="186"/>
      <c r="H31" s="186"/>
      <c r="I31" s="186"/>
    </row>
    <row r="32" spans="1:9" ht="15">
      <c r="A32" s="1"/>
      <c r="B32" s="187" t="s">
        <v>518</v>
      </c>
      <c r="C32" s="187"/>
      <c r="D32" s="187"/>
      <c r="E32" s="187"/>
      <c r="F32" s="187"/>
      <c r="G32" s="187"/>
      <c r="H32" s="187"/>
      <c r="I32" s="187"/>
    </row>
    <row r="33" spans="1:9" ht="14.25">
      <c r="A33" s="1"/>
      <c r="B33" s="2"/>
      <c r="C33" s="2"/>
      <c r="D33" s="3"/>
      <c r="E33" s="2"/>
      <c r="F33" s="51"/>
      <c r="G33" s="14"/>
      <c r="H33" s="4"/>
      <c r="I33" s="5"/>
    </row>
    <row r="34" spans="1:9" ht="14.25">
      <c r="A34" s="1"/>
      <c r="B34" s="2"/>
      <c r="C34" s="2"/>
      <c r="D34" s="3"/>
      <c r="E34" s="2"/>
      <c r="F34" s="51"/>
      <c r="G34" s="14"/>
      <c r="H34" s="4"/>
      <c r="I34" s="5"/>
    </row>
    <row r="35" spans="1:9" ht="14.25">
      <c r="A35" s="1"/>
      <c r="B35" s="2"/>
      <c r="C35" s="2"/>
      <c r="D35" s="3"/>
      <c r="E35" s="2"/>
      <c r="F35" s="51"/>
      <c r="G35" s="14"/>
      <c r="H35" s="4"/>
      <c r="I35" s="5"/>
    </row>
    <row r="36" spans="1:9" ht="14.25">
      <c r="A36" s="1"/>
      <c r="B36" s="2"/>
      <c r="C36" s="2"/>
      <c r="D36" s="3"/>
      <c r="E36" s="2"/>
      <c r="F36" s="51"/>
      <c r="G36" s="14"/>
      <c r="H36" s="4"/>
      <c r="I36" s="5"/>
    </row>
    <row r="37" spans="1:9" ht="15">
      <c r="A37" s="186"/>
      <c r="B37" s="186"/>
      <c r="C37" s="186"/>
      <c r="D37" s="3"/>
      <c r="E37" s="2"/>
      <c r="F37" s="51"/>
      <c r="G37" s="14"/>
      <c r="H37" s="4"/>
      <c r="I37" s="5"/>
    </row>
    <row r="38" spans="1:9" ht="15">
      <c r="A38" s="1"/>
      <c r="B38" s="186"/>
      <c r="C38" s="186"/>
      <c r="D38" s="186"/>
      <c r="E38" s="186"/>
      <c r="F38" s="186"/>
      <c r="G38" s="186"/>
      <c r="H38" s="186"/>
      <c r="I38" s="186"/>
    </row>
    <row r="39" spans="1:9" ht="15">
      <c r="A39" s="1"/>
      <c r="B39" s="186"/>
      <c r="C39" s="186"/>
      <c r="D39" s="186"/>
      <c r="E39" s="186"/>
      <c r="F39" s="186"/>
      <c r="G39" s="186"/>
      <c r="H39" s="186"/>
      <c r="I39" s="186"/>
    </row>
  </sheetData>
  <sheetProtection/>
  <mergeCells count="19">
    <mergeCell ref="A1:B3"/>
    <mergeCell ref="C1:E1"/>
    <mergeCell ref="C2:E2"/>
    <mergeCell ref="C3:E3"/>
    <mergeCell ref="A4:E4"/>
    <mergeCell ref="A5:D5"/>
    <mergeCell ref="A23:E23"/>
    <mergeCell ref="A6:D6"/>
    <mergeCell ref="B10:B11"/>
    <mergeCell ref="C10:C11"/>
    <mergeCell ref="D10:D11"/>
    <mergeCell ref="B26:I26"/>
    <mergeCell ref="B39:I39"/>
    <mergeCell ref="A29:C29"/>
    <mergeCell ref="B30:I30"/>
    <mergeCell ref="B31:I31"/>
    <mergeCell ref="B32:I32"/>
    <mergeCell ref="A37:C37"/>
    <mergeCell ref="B38:I38"/>
  </mergeCells>
  <printOptions horizontalCentered="1"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11.3984375" style="0" customWidth="1"/>
    <col min="4" max="4" width="31.69921875" style="0" customWidth="1"/>
    <col min="7" max="7" width="9.3984375" style="0" bestFit="1" customWidth="1"/>
  </cols>
  <sheetData>
    <row r="1" spans="1:7" ht="19.5" customHeight="1">
      <c r="A1" s="259" t="s">
        <v>131</v>
      </c>
      <c r="B1" s="260"/>
      <c r="C1" s="260"/>
      <c r="D1" s="260"/>
      <c r="E1" s="260"/>
      <c r="F1" s="260"/>
      <c r="G1" s="261"/>
    </row>
    <row r="3" spans="1:7" ht="27" customHeight="1">
      <c r="A3" s="183" t="s">
        <v>3</v>
      </c>
      <c r="B3" s="255" t="s">
        <v>6</v>
      </c>
      <c r="C3" s="255"/>
      <c r="D3" s="255"/>
      <c r="E3" s="64" t="s">
        <v>129</v>
      </c>
      <c r="F3" s="89" t="s">
        <v>130</v>
      </c>
      <c r="G3" s="183" t="s">
        <v>33</v>
      </c>
    </row>
    <row r="4" spans="1:7" ht="22.5" customHeight="1">
      <c r="A4" s="65" t="s">
        <v>527</v>
      </c>
      <c r="B4" s="256" t="s">
        <v>523</v>
      </c>
      <c r="C4" s="257"/>
      <c r="D4" s="258"/>
      <c r="E4" s="65">
        <f>(ORÇAMENTO!F20+ORÇAMENTO!F29)/2</f>
        <v>1099.325</v>
      </c>
      <c r="F4" s="65" t="s">
        <v>524</v>
      </c>
      <c r="G4" s="184">
        <f>((ORÇAMENTO!I20+ORÇAMENTO!I29)/2)/ORÇAMENTO!I122</f>
        <v>0.08569683151832563</v>
      </c>
    </row>
    <row r="5" spans="1:7" ht="22.5" customHeight="1">
      <c r="A5" s="185" t="s">
        <v>528</v>
      </c>
      <c r="B5" s="256" t="s">
        <v>525</v>
      </c>
      <c r="C5" s="257"/>
      <c r="D5" s="258"/>
      <c r="E5" s="65">
        <f>(ORÇAMENTO!F108+ORÇAMENTO!F109+ORÇAMENTO!F110+ORÇAMENTO!F111)/2</f>
        <v>4729.54</v>
      </c>
      <c r="F5" s="65" t="s">
        <v>524</v>
      </c>
      <c r="G5" s="184">
        <f>((ORÇAMENTO!I108+ORÇAMENTO!I109+ORÇAMENTO!I110+ORÇAMENTO!I111)/2)/ORÇAMENTO!I122</f>
        <v>0.09426630066730722</v>
      </c>
    </row>
    <row r="6" ht="14.25">
      <c r="E6" s="49"/>
    </row>
    <row r="8" ht="14.25">
      <c r="E8" s="49"/>
    </row>
  </sheetData>
  <sheetProtection/>
  <mergeCells count="4">
    <mergeCell ref="B3:D3"/>
    <mergeCell ref="B4:D4"/>
    <mergeCell ref="B5:D5"/>
    <mergeCell ref="A1:G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A43" sqref="A43:E43"/>
    </sheetView>
  </sheetViews>
  <sheetFormatPr defaultColWidth="8.796875" defaultRowHeight="14.25"/>
  <cols>
    <col min="2" max="2" width="32.8984375" style="0" customWidth="1"/>
    <col min="3" max="3" width="13.5" style="0" customWidth="1"/>
    <col min="4" max="4" width="12.69921875" style="0" customWidth="1"/>
    <col min="5" max="5" width="10.8984375" style="0" customWidth="1"/>
    <col min="6" max="6" width="12" style="0" customWidth="1"/>
    <col min="7" max="7" width="10.69921875" style="0" customWidth="1"/>
    <col min="8" max="8" width="11" style="0" customWidth="1"/>
    <col min="9" max="9" width="10.8984375" style="0" customWidth="1"/>
    <col min="10" max="10" width="12.3984375" style="0" customWidth="1"/>
    <col min="12" max="12" width="11.09765625" style="0" customWidth="1"/>
  </cols>
  <sheetData>
    <row r="1" spans="1:13" ht="15.75">
      <c r="A1" s="269" t="s">
        <v>132</v>
      </c>
      <c r="B1" s="269"/>
      <c r="C1" s="269"/>
      <c r="D1" s="269"/>
      <c r="E1" s="269"/>
      <c r="F1" s="269"/>
      <c r="G1" s="269"/>
      <c r="H1" s="269"/>
      <c r="I1" s="269"/>
      <c r="J1" s="269"/>
      <c r="K1" s="91"/>
      <c r="L1" s="92"/>
      <c r="M1" s="93"/>
    </row>
    <row r="2" spans="1:13" ht="14.25">
      <c r="A2" s="94" t="s">
        <v>133</v>
      </c>
      <c r="B2" s="95"/>
      <c r="C2" s="95"/>
      <c r="D2" s="95"/>
      <c r="E2" s="96"/>
      <c r="F2" s="96"/>
      <c r="G2" s="96"/>
      <c r="H2" s="96"/>
      <c r="I2" s="96"/>
      <c r="J2" s="96"/>
      <c r="K2" s="97"/>
      <c r="L2" s="97"/>
      <c r="M2" s="93"/>
    </row>
    <row r="3" spans="1:13" ht="15">
      <c r="A3" s="174" t="s">
        <v>162</v>
      </c>
      <c r="B3" s="175"/>
      <c r="C3" s="175"/>
      <c r="D3" s="175"/>
      <c r="E3" s="176"/>
      <c r="F3" s="270" t="s">
        <v>134</v>
      </c>
      <c r="G3" s="270"/>
      <c r="H3" s="270"/>
      <c r="I3" s="99"/>
      <c r="J3" s="99"/>
      <c r="K3" s="100"/>
      <c r="L3" s="97"/>
      <c r="M3" s="93"/>
    </row>
    <row r="4" spans="1:13" ht="18.75">
      <c r="A4" s="178"/>
      <c r="B4" s="178"/>
      <c r="C4" s="178"/>
      <c r="D4" s="178"/>
      <c r="E4" s="176"/>
      <c r="F4" s="271" t="s">
        <v>135</v>
      </c>
      <c r="G4" s="271"/>
      <c r="H4" s="271"/>
      <c r="I4" s="101"/>
      <c r="J4" s="101"/>
      <c r="K4" s="102"/>
      <c r="L4" s="97"/>
      <c r="M4" s="93"/>
    </row>
    <row r="5" spans="1:13" ht="15.75">
      <c r="A5" s="96"/>
      <c r="B5" s="96"/>
      <c r="C5" s="96"/>
      <c r="D5" s="96"/>
      <c r="E5" s="96"/>
      <c r="F5" s="103"/>
      <c r="G5" s="96"/>
      <c r="H5" s="96"/>
      <c r="I5" s="96"/>
      <c r="J5" s="96"/>
      <c r="K5" s="97"/>
      <c r="L5" s="97"/>
      <c r="M5" s="93"/>
    </row>
    <row r="6" spans="1:13" ht="14.25">
      <c r="A6" s="104" t="s">
        <v>136</v>
      </c>
      <c r="B6" s="105"/>
      <c r="C6" s="106"/>
      <c r="D6" s="107"/>
      <c r="E6" s="108"/>
      <c r="F6" s="109" t="s">
        <v>137</v>
      </c>
      <c r="G6" s="110"/>
      <c r="H6" s="110"/>
      <c r="I6" s="111"/>
      <c r="J6" s="98" t="s">
        <v>138</v>
      </c>
      <c r="K6" s="100"/>
      <c r="L6" s="97"/>
      <c r="M6" s="93"/>
    </row>
    <row r="7" spans="1:13" ht="16.5">
      <c r="A7" s="112"/>
      <c r="B7" s="272" t="s">
        <v>444</v>
      </c>
      <c r="C7" s="272"/>
      <c r="D7" s="272"/>
      <c r="E7" s="95"/>
      <c r="F7" s="113" t="s">
        <v>139</v>
      </c>
      <c r="G7" s="114"/>
      <c r="H7" s="114"/>
      <c r="I7" s="115"/>
      <c r="J7" s="116">
        <v>45200</v>
      </c>
      <c r="K7" s="102"/>
      <c r="L7" s="97"/>
      <c r="M7" s="93"/>
    </row>
    <row r="8" spans="1:13" ht="14.25">
      <c r="A8" s="117"/>
      <c r="B8" s="95" t="s">
        <v>157</v>
      </c>
      <c r="C8" s="108"/>
      <c r="D8" s="108"/>
      <c r="E8" s="108"/>
      <c r="F8" s="112" t="s">
        <v>140</v>
      </c>
      <c r="G8" s="118"/>
      <c r="H8" s="118"/>
      <c r="I8" s="115"/>
      <c r="J8" s="119"/>
      <c r="K8" s="120"/>
      <c r="L8" s="97"/>
      <c r="M8" s="93"/>
    </row>
    <row r="9" spans="1:13" ht="14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  <c r="L9" s="97"/>
      <c r="M9" s="93"/>
    </row>
    <row r="10" spans="1:13" ht="15.75">
      <c r="A10" s="121" t="s">
        <v>3</v>
      </c>
      <c r="B10" s="122" t="s">
        <v>141</v>
      </c>
      <c r="C10" s="107" t="s">
        <v>142</v>
      </c>
      <c r="D10" s="273" t="s">
        <v>143</v>
      </c>
      <c r="E10" s="273"/>
      <c r="F10" s="274" t="s">
        <v>144</v>
      </c>
      <c r="G10" s="274"/>
      <c r="H10" s="274" t="s">
        <v>145</v>
      </c>
      <c r="I10" s="274"/>
      <c r="J10" s="123"/>
      <c r="K10" s="124"/>
      <c r="L10" s="97"/>
      <c r="M10" s="93"/>
    </row>
    <row r="11" spans="1:13" ht="15.75">
      <c r="A11" s="125"/>
      <c r="B11" s="126"/>
      <c r="C11" s="127"/>
      <c r="D11" s="274" t="s">
        <v>146</v>
      </c>
      <c r="E11" s="274"/>
      <c r="F11" s="274" t="s">
        <v>146</v>
      </c>
      <c r="G11" s="274"/>
      <c r="H11" s="274" t="s">
        <v>146</v>
      </c>
      <c r="I11" s="274"/>
      <c r="J11" s="128" t="s">
        <v>11</v>
      </c>
      <c r="K11" s="124"/>
      <c r="L11" s="97"/>
      <c r="M11" s="93"/>
    </row>
    <row r="12" spans="1:13" ht="56.25">
      <c r="A12" s="112" t="s">
        <v>147</v>
      </c>
      <c r="B12" s="129" t="s">
        <v>147</v>
      </c>
      <c r="C12" s="130" t="s">
        <v>147</v>
      </c>
      <c r="D12" s="131" t="s">
        <v>148</v>
      </c>
      <c r="E12" s="132" t="s">
        <v>149</v>
      </c>
      <c r="F12" s="131" t="s">
        <v>150</v>
      </c>
      <c r="G12" s="132" t="s">
        <v>149</v>
      </c>
      <c r="H12" s="131" t="s">
        <v>150</v>
      </c>
      <c r="I12" s="132" t="s">
        <v>149</v>
      </c>
      <c r="J12" s="133"/>
      <c r="K12" s="124"/>
      <c r="L12" s="97"/>
      <c r="M12" s="93"/>
    </row>
    <row r="13" spans="1:13" ht="15.75">
      <c r="A13" s="134">
        <v>1</v>
      </c>
      <c r="B13" s="135" t="s">
        <v>487</v>
      </c>
      <c r="C13" s="136" t="s">
        <v>151</v>
      </c>
      <c r="D13" s="275">
        <f>0.3*L13</f>
        <v>574.266</v>
      </c>
      <c r="E13" s="275"/>
      <c r="F13" s="275">
        <f>0.35*L13</f>
        <v>669.977</v>
      </c>
      <c r="G13" s="275"/>
      <c r="H13" s="275">
        <f>L13-D13-F13</f>
        <v>669.9770000000002</v>
      </c>
      <c r="I13" s="275"/>
      <c r="J13" s="137">
        <f aca="true" t="shared" si="0" ref="J13:J34">SUM(D13:I13)</f>
        <v>1914.2200000000003</v>
      </c>
      <c r="K13" s="124"/>
      <c r="L13" s="170">
        <v>1914.22</v>
      </c>
      <c r="M13" s="93"/>
    </row>
    <row r="14" spans="1:13" ht="15.75">
      <c r="A14" s="138" t="s">
        <v>147</v>
      </c>
      <c r="B14" s="139" t="s">
        <v>147</v>
      </c>
      <c r="C14" s="140" t="s">
        <v>152</v>
      </c>
      <c r="D14" s="276">
        <f>ORÇAMENTO!I9*0.3</f>
        <v>6720.282</v>
      </c>
      <c r="E14" s="276"/>
      <c r="F14" s="276">
        <f>ORÇAMENTO!I9*0.35</f>
        <v>7840.329000000001</v>
      </c>
      <c r="G14" s="276"/>
      <c r="H14" s="276">
        <f>ORÇAMENTO!I9*0.35</f>
        <v>7840.329000000001</v>
      </c>
      <c r="I14" s="276"/>
      <c r="J14" s="137">
        <f t="shared" si="0"/>
        <v>22400.940000000002</v>
      </c>
      <c r="K14" s="124"/>
      <c r="L14" s="171">
        <f>ORÇAMENTO!I122</f>
        <v>2245297.19</v>
      </c>
      <c r="M14" s="93"/>
    </row>
    <row r="15" spans="1:13" ht="15.75">
      <c r="A15" s="141">
        <v>2</v>
      </c>
      <c r="B15" s="142" t="s">
        <v>488</v>
      </c>
      <c r="C15" s="136" t="s">
        <v>151</v>
      </c>
      <c r="D15" s="275">
        <f>0.3*L13</f>
        <v>574.266</v>
      </c>
      <c r="E15" s="275"/>
      <c r="F15" s="275">
        <f>0.35*L13</f>
        <v>669.977</v>
      </c>
      <c r="G15" s="275"/>
      <c r="H15" s="275">
        <f>0.35*L13</f>
        <v>669.977</v>
      </c>
      <c r="I15" s="275"/>
      <c r="J15" s="137">
        <f t="shared" si="0"/>
        <v>1914.2199999999998</v>
      </c>
      <c r="K15" s="124"/>
      <c r="L15" s="97"/>
      <c r="M15" s="93"/>
    </row>
    <row r="16" spans="1:13" ht="15.75">
      <c r="A16" s="144"/>
      <c r="B16" s="145"/>
      <c r="C16" s="140" t="s">
        <v>152</v>
      </c>
      <c r="D16" s="264">
        <f>0.3*ORÇAMENTO!I13</f>
        <v>146584.19999999998</v>
      </c>
      <c r="E16" s="265"/>
      <c r="F16" s="264">
        <f>0.35*ORÇAMENTO!I13</f>
        <v>171014.89999999997</v>
      </c>
      <c r="G16" s="265"/>
      <c r="H16" s="264">
        <f>0.35*ORÇAMENTO!I13</f>
        <v>171014.89999999997</v>
      </c>
      <c r="I16" s="265"/>
      <c r="J16" s="143">
        <f t="shared" si="0"/>
        <v>488613.99999999994</v>
      </c>
      <c r="K16" s="124"/>
      <c r="L16" s="97"/>
      <c r="M16" s="93"/>
    </row>
    <row r="17" spans="1:13" ht="15.75">
      <c r="A17" s="141">
        <v>3</v>
      </c>
      <c r="B17" s="147" t="s">
        <v>489</v>
      </c>
      <c r="C17" s="136" t="s">
        <v>151</v>
      </c>
      <c r="D17" s="275">
        <f>0.3*L13</f>
        <v>574.266</v>
      </c>
      <c r="E17" s="275"/>
      <c r="F17" s="267">
        <f>0.35*L13</f>
        <v>669.977</v>
      </c>
      <c r="G17" s="268"/>
      <c r="H17" s="267">
        <f>0.35*L13</f>
        <v>669.977</v>
      </c>
      <c r="I17" s="268"/>
      <c r="J17" s="143">
        <f t="shared" si="0"/>
        <v>1914.2199999999998</v>
      </c>
      <c r="K17" s="124"/>
      <c r="L17" s="97"/>
      <c r="M17" s="93"/>
    </row>
    <row r="18" spans="1:13" ht="15.75">
      <c r="A18" s="144"/>
      <c r="B18" s="145"/>
      <c r="C18" s="140" t="s">
        <v>152</v>
      </c>
      <c r="D18" s="264">
        <f>0.3*ORÇAMENTO!I25</f>
        <v>24854.798999999995</v>
      </c>
      <c r="E18" s="265"/>
      <c r="F18" s="264">
        <f>0.35*ORÇAMENTO!I25</f>
        <v>28997.265499999994</v>
      </c>
      <c r="G18" s="265"/>
      <c r="H18" s="264">
        <f>0.35*ORÇAMENTO!I25</f>
        <v>28997.265499999994</v>
      </c>
      <c r="I18" s="265"/>
      <c r="J18" s="143">
        <f t="shared" si="0"/>
        <v>82849.32999999999</v>
      </c>
      <c r="K18" s="124"/>
      <c r="L18" s="97"/>
      <c r="M18" s="93"/>
    </row>
    <row r="19" spans="1:13" ht="15.75">
      <c r="A19" s="141">
        <v>4</v>
      </c>
      <c r="B19" s="147" t="s">
        <v>490</v>
      </c>
      <c r="C19" s="136" t="s">
        <v>151</v>
      </c>
      <c r="D19" s="267">
        <f>0.3*L13</f>
        <v>574.266</v>
      </c>
      <c r="E19" s="268"/>
      <c r="F19" s="267">
        <f>0.35*L13</f>
        <v>669.977</v>
      </c>
      <c r="G19" s="268"/>
      <c r="H19" s="267">
        <f>0.35*L13</f>
        <v>669.977</v>
      </c>
      <c r="I19" s="268"/>
      <c r="J19" s="143">
        <f t="shared" si="0"/>
        <v>1914.2199999999998</v>
      </c>
      <c r="K19" s="124"/>
      <c r="L19" s="97"/>
      <c r="M19" s="93"/>
    </row>
    <row r="20" spans="1:13" ht="15.75">
      <c r="A20" s="179"/>
      <c r="B20" s="148"/>
      <c r="C20" s="140" t="s">
        <v>152</v>
      </c>
      <c r="D20" s="264">
        <f>0.3*ORÇAMENTO!I31</f>
        <v>32853.726</v>
      </c>
      <c r="E20" s="265"/>
      <c r="F20" s="264">
        <f>0.35*ORÇAMENTO!I31</f>
        <v>38329.347</v>
      </c>
      <c r="G20" s="265"/>
      <c r="H20" s="264">
        <f>0.35*ORÇAMENTO!I31</f>
        <v>38329.347</v>
      </c>
      <c r="I20" s="265"/>
      <c r="J20" s="143">
        <f t="shared" si="0"/>
        <v>109512.42000000001</v>
      </c>
      <c r="K20" s="124"/>
      <c r="L20" s="97"/>
      <c r="M20" s="93"/>
    </row>
    <row r="21" spans="1:13" ht="15.75">
      <c r="A21" s="141">
        <v>5</v>
      </c>
      <c r="B21" s="147" t="s">
        <v>491</v>
      </c>
      <c r="C21" s="136" t="s">
        <v>151</v>
      </c>
      <c r="D21" s="267">
        <f>0.3*L13</f>
        <v>574.266</v>
      </c>
      <c r="E21" s="268"/>
      <c r="F21" s="267">
        <f>0.35*L13</f>
        <v>669.977</v>
      </c>
      <c r="G21" s="268"/>
      <c r="H21" s="267">
        <f>0.35*L13</f>
        <v>669.977</v>
      </c>
      <c r="I21" s="268"/>
      <c r="J21" s="143">
        <f t="shared" si="0"/>
        <v>1914.2199999999998</v>
      </c>
      <c r="K21" s="124"/>
      <c r="L21" s="97"/>
      <c r="M21" s="93"/>
    </row>
    <row r="22" spans="1:13" ht="15.75">
      <c r="A22" s="179"/>
      <c r="B22" s="148"/>
      <c r="C22" s="140" t="s">
        <v>152</v>
      </c>
      <c r="D22" s="264">
        <f>0.3*ORÇAMENTO!I37</f>
        <v>26461.376999999997</v>
      </c>
      <c r="E22" s="265"/>
      <c r="F22" s="264">
        <f>0.35*ORÇAMENTO!I37</f>
        <v>30871.606499999998</v>
      </c>
      <c r="G22" s="265"/>
      <c r="H22" s="264">
        <f>0.35*ORÇAMENTO!I37</f>
        <v>30871.606499999998</v>
      </c>
      <c r="I22" s="265"/>
      <c r="J22" s="143">
        <f t="shared" si="0"/>
        <v>88204.59</v>
      </c>
      <c r="K22" s="124"/>
      <c r="L22" s="97"/>
      <c r="M22" s="93"/>
    </row>
    <row r="23" spans="1:13" ht="15.75">
      <c r="A23" s="141">
        <v>6</v>
      </c>
      <c r="B23" s="147" t="s">
        <v>492</v>
      </c>
      <c r="C23" s="136" t="s">
        <v>151</v>
      </c>
      <c r="D23" s="267">
        <f>0.3*L13</f>
        <v>574.266</v>
      </c>
      <c r="E23" s="268"/>
      <c r="F23" s="267">
        <f>0.35*L13</f>
        <v>669.977</v>
      </c>
      <c r="G23" s="268"/>
      <c r="H23" s="267">
        <f>0.35*L13</f>
        <v>669.977</v>
      </c>
      <c r="I23" s="268"/>
      <c r="J23" s="143">
        <f t="shared" si="0"/>
        <v>1914.2199999999998</v>
      </c>
      <c r="K23" s="124"/>
      <c r="L23" s="97"/>
      <c r="M23" s="93"/>
    </row>
    <row r="24" spans="1:13" ht="15.75">
      <c r="A24" s="179"/>
      <c r="B24" s="148"/>
      <c r="C24" s="140" t="s">
        <v>152</v>
      </c>
      <c r="D24" s="264">
        <f>0.3*ORÇAMENTO!I41</f>
        <v>36073.161</v>
      </c>
      <c r="E24" s="265"/>
      <c r="F24" s="264">
        <f>0.35*ORÇAMENTO!I41</f>
        <v>42085.354499999994</v>
      </c>
      <c r="G24" s="265"/>
      <c r="H24" s="264">
        <f>0.35*ORÇAMENTO!I41</f>
        <v>42085.354499999994</v>
      </c>
      <c r="I24" s="265"/>
      <c r="J24" s="143">
        <f t="shared" si="0"/>
        <v>120243.87</v>
      </c>
      <c r="K24" s="124"/>
      <c r="L24" s="97"/>
      <c r="M24" s="93"/>
    </row>
    <row r="25" spans="1:13" ht="15.75">
      <c r="A25" s="141">
        <v>7</v>
      </c>
      <c r="B25" s="147" t="s">
        <v>493</v>
      </c>
      <c r="C25" s="136" t="s">
        <v>151</v>
      </c>
      <c r="D25" s="267">
        <f>0.3*L13</f>
        <v>574.266</v>
      </c>
      <c r="E25" s="268"/>
      <c r="F25" s="267">
        <f>0.35*L13</f>
        <v>669.977</v>
      </c>
      <c r="G25" s="268"/>
      <c r="H25" s="267">
        <f>0.35*L13</f>
        <v>669.977</v>
      </c>
      <c r="I25" s="268"/>
      <c r="J25" s="143">
        <f t="shared" si="0"/>
        <v>1914.2199999999998</v>
      </c>
      <c r="K25" s="124"/>
      <c r="L25" s="97"/>
      <c r="M25" s="93"/>
    </row>
    <row r="26" spans="1:13" ht="15.75">
      <c r="A26" s="179"/>
      <c r="B26" s="148"/>
      <c r="C26" s="140" t="s">
        <v>152</v>
      </c>
      <c r="D26" s="264">
        <f>0.3*ORÇAMENTO!I53</f>
        <v>11812.818</v>
      </c>
      <c r="E26" s="265"/>
      <c r="F26" s="264">
        <f>0.35*ORÇAMENTO!I53</f>
        <v>13781.621</v>
      </c>
      <c r="G26" s="265"/>
      <c r="H26" s="264">
        <f>0.35*ORÇAMENTO!I53</f>
        <v>13781.621</v>
      </c>
      <c r="I26" s="265"/>
      <c r="J26" s="143">
        <f t="shared" si="0"/>
        <v>39376.06</v>
      </c>
      <c r="K26" s="124"/>
      <c r="L26" s="97"/>
      <c r="M26" s="93"/>
    </row>
    <row r="27" spans="1:13" ht="15.75">
      <c r="A27" s="141">
        <v>8</v>
      </c>
      <c r="B27" s="147" t="s">
        <v>494</v>
      </c>
      <c r="C27" s="136" t="s">
        <v>151</v>
      </c>
      <c r="D27" s="267">
        <f>0.3*L13</f>
        <v>574.266</v>
      </c>
      <c r="E27" s="268"/>
      <c r="F27" s="267">
        <f>0.35*L13</f>
        <v>669.977</v>
      </c>
      <c r="G27" s="268"/>
      <c r="H27" s="267">
        <f>0.35*L13</f>
        <v>669.977</v>
      </c>
      <c r="I27" s="268"/>
      <c r="J27" s="143">
        <f t="shared" si="0"/>
        <v>1914.2199999999998</v>
      </c>
      <c r="K27" s="124"/>
      <c r="L27" s="97"/>
      <c r="M27" s="93"/>
    </row>
    <row r="28" spans="1:13" ht="15.75">
      <c r="A28" s="179"/>
      <c r="B28" s="148"/>
      <c r="C28" s="140" t="s">
        <v>152</v>
      </c>
      <c r="D28" s="264">
        <f>0.3*ORÇAMENTO!I71</f>
        <v>64401.914999999986</v>
      </c>
      <c r="E28" s="265"/>
      <c r="F28" s="264">
        <f>0.35*ORÇAMENTO!I71</f>
        <v>75135.56749999998</v>
      </c>
      <c r="G28" s="265"/>
      <c r="H28" s="264">
        <f>0.35*ORÇAMENTO!I71</f>
        <v>75135.56749999998</v>
      </c>
      <c r="I28" s="265"/>
      <c r="J28" s="143">
        <f t="shared" si="0"/>
        <v>214673.04999999993</v>
      </c>
      <c r="K28" s="124"/>
      <c r="L28" s="97"/>
      <c r="M28" s="93"/>
    </row>
    <row r="29" spans="1:13" ht="15.75">
      <c r="A29" s="141">
        <v>9</v>
      </c>
      <c r="B29" s="147" t="s">
        <v>495</v>
      </c>
      <c r="C29" s="136" t="s">
        <v>151</v>
      </c>
      <c r="D29" s="267">
        <f>0.3*L13</f>
        <v>574.266</v>
      </c>
      <c r="E29" s="268"/>
      <c r="F29" s="267">
        <f>0.35*L13</f>
        <v>669.977</v>
      </c>
      <c r="G29" s="268"/>
      <c r="H29" s="267">
        <f>0.35*L13</f>
        <v>669.977</v>
      </c>
      <c r="I29" s="268"/>
      <c r="J29" s="143">
        <f t="shared" si="0"/>
        <v>1914.2199999999998</v>
      </c>
      <c r="K29" s="124"/>
      <c r="L29" s="97"/>
      <c r="M29" s="93"/>
    </row>
    <row r="30" spans="1:13" ht="15.75">
      <c r="A30" s="179"/>
      <c r="B30" s="148"/>
      <c r="C30" s="140" t="s">
        <v>152</v>
      </c>
      <c r="D30" s="264">
        <f>0.3*ORÇAMENTO!I91</f>
        <v>31120.436999999998</v>
      </c>
      <c r="E30" s="265"/>
      <c r="F30" s="264">
        <f>0.35*ORÇAMENTO!I91</f>
        <v>36307.176499999994</v>
      </c>
      <c r="G30" s="265"/>
      <c r="H30" s="264">
        <f>0.35*ORÇAMENTO!I91</f>
        <v>36307.176499999994</v>
      </c>
      <c r="I30" s="265"/>
      <c r="J30" s="143">
        <f t="shared" si="0"/>
        <v>103734.78999999998</v>
      </c>
      <c r="K30" s="124"/>
      <c r="L30" s="97"/>
      <c r="M30" s="93"/>
    </row>
    <row r="31" spans="1:13" ht="15.75">
      <c r="A31" s="141">
        <v>10</v>
      </c>
      <c r="B31" s="147" t="s">
        <v>496</v>
      </c>
      <c r="C31" s="136" t="s">
        <v>151</v>
      </c>
      <c r="D31" s="266">
        <f>0.3*L13</f>
        <v>574.266</v>
      </c>
      <c r="E31" s="266"/>
      <c r="F31" s="266">
        <f>0.35*L13</f>
        <v>669.977</v>
      </c>
      <c r="G31" s="266"/>
      <c r="H31" s="266">
        <f>0.35*L13</f>
        <v>669.977</v>
      </c>
      <c r="I31" s="266"/>
      <c r="J31" s="143">
        <f t="shared" si="0"/>
        <v>1914.2199999999998</v>
      </c>
      <c r="K31" s="124"/>
      <c r="L31" s="97"/>
      <c r="M31" s="93"/>
    </row>
    <row r="32" spans="1:13" ht="15.75">
      <c r="A32" s="179"/>
      <c r="B32" s="148"/>
      <c r="C32" s="140" t="s">
        <v>152</v>
      </c>
      <c r="D32" s="263">
        <f>0.3*ORÇAMENTO!I105</f>
        <v>132800.298</v>
      </c>
      <c r="E32" s="263"/>
      <c r="F32" s="263">
        <f>0.35*ORÇAMENTO!I105</f>
        <v>154933.681</v>
      </c>
      <c r="G32" s="263"/>
      <c r="H32" s="263">
        <f>0.35*ORÇAMENTO!I105</f>
        <v>154933.681</v>
      </c>
      <c r="I32" s="263"/>
      <c r="J32" s="143">
        <f t="shared" si="0"/>
        <v>442667.66000000003</v>
      </c>
      <c r="K32" s="124"/>
      <c r="L32" s="97"/>
      <c r="M32" s="93"/>
    </row>
    <row r="33" spans="1:13" ht="15.75">
      <c r="A33" s="141">
        <v>11</v>
      </c>
      <c r="B33" s="147" t="s">
        <v>497</v>
      </c>
      <c r="C33" s="136" t="s">
        <v>151</v>
      </c>
      <c r="D33" s="266">
        <f>0.3*L13</f>
        <v>574.266</v>
      </c>
      <c r="E33" s="266"/>
      <c r="F33" s="266">
        <f>0.35*L13</f>
        <v>669.977</v>
      </c>
      <c r="G33" s="266"/>
      <c r="H33" s="266">
        <f>0.35*L13</f>
        <v>669.977</v>
      </c>
      <c r="I33" s="266"/>
      <c r="J33" s="143">
        <f t="shared" si="0"/>
        <v>1914.2199999999998</v>
      </c>
      <c r="K33" s="124"/>
      <c r="L33" s="97"/>
      <c r="M33" s="93"/>
    </row>
    <row r="34" spans="1:13" ht="16.5" thickBot="1">
      <c r="A34" s="179"/>
      <c r="B34" s="148"/>
      <c r="C34" s="140" t="s">
        <v>152</v>
      </c>
      <c r="D34" s="263">
        <f>0.3*ORÇAMENTO!I112</f>
        <v>159906.144</v>
      </c>
      <c r="E34" s="263"/>
      <c r="F34" s="263">
        <f>0.35*ORÇAMENTO!I112</f>
        <v>186557.16799999998</v>
      </c>
      <c r="G34" s="263"/>
      <c r="H34" s="263">
        <f>0.35*ORÇAMENTO!I112</f>
        <v>186557.16799999998</v>
      </c>
      <c r="I34" s="263"/>
      <c r="J34" s="180">
        <f t="shared" si="0"/>
        <v>533020.48</v>
      </c>
      <c r="K34" s="124"/>
      <c r="L34" s="97"/>
      <c r="M34" s="93"/>
    </row>
    <row r="35" spans="1:13" ht="16.5" thickBot="1">
      <c r="A35" s="149"/>
      <c r="B35" s="150"/>
      <c r="C35" s="151"/>
      <c r="D35" s="152"/>
      <c r="E35" s="152"/>
      <c r="F35" s="153"/>
      <c r="G35" s="154"/>
      <c r="H35" s="153"/>
      <c r="I35" s="154"/>
      <c r="J35" s="181"/>
      <c r="K35" s="124"/>
      <c r="L35" s="97"/>
      <c r="M35" s="93"/>
    </row>
    <row r="36" spans="1:13" ht="15.75">
      <c r="A36" s="155" t="s">
        <v>153</v>
      </c>
      <c r="B36" s="156"/>
      <c r="C36" s="146"/>
      <c r="D36" s="277">
        <f>0.3*J36</f>
        <v>600000</v>
      </c>
      <c r="E36" s="277"/>
      <c r="F36" s="277">
        <f>0.35*J36</f>
        <v>700000</v>
      </c>
      <c r="G36" s="277"/>
      <c r="H36" s="277">
        <f>J36-F36-D36</f>
        <v>700000</v>
      </c>
      <c r="I36" s="277"/>
      <c r="J36" s="157">
        <v>2000000</v>
      </c>
      <c r="K36" s="124"/>
      <c r="L36" s="97"/>
      <c r="M36" s="93"/>
    </row>
    <row r="37" spans="1:13" ht="15.75">
      <c r="A37" s="155" t="s">
        <v>154</v>
      </c>
      <c r="B37" s="156"/>
      <c r="C37" s="146"/>
      <c r="D37" s="278">
        <f>(SUM(D14,D16,D18,D20,D22,D24,D26,D28,D30,D32,D34)-600000)</f>
        <v>73589.157</v>
      </c>
      <c r="E37" s="278"/>
      <c r="F37" s="278">
        <f>(SUM(F14,F16,F18,F20,F22,F24,F26,F28,F30,F32,F34)-700000)</f>
        <v>85854.01649999991</v>
      </c>
      <c r="G37" s="278"/>
      <c r="H37" s="279">
        <f>(SUM(H14,H16,H18,H20,H22,H24,H26,H28,H30,H32,H34)-700000)</f>
        <v>85854.01649999991</v>
      </c>
      <c r="I37" s="279"/>
      <c r="J37" s="157">
        <f>D37+F37+H37</f>
        <v>245297.18999999983</v>
      </c>
      <c r="K37" s="124"/>
      <c r="L37" s="97"/>
      <c r="M37" s="93"/>
    </row>
    <row r="38" spans="1:13" ht="15.75">
      <c r="A38" s="155" t="s">
        <v>155</v>
      </c>
      <c r="B38" s="156"/>
      <c r="C38" s="146"/>
      <c r="D38" s="277">
        <f>D36+D37</f>
        <v>673589.157</v>
      </c>
      <c r="E38" s="277"/>
      <c r="F38" s="277">
        <f>F36+F37</f>
        <v>785854.0164999999</v>
      </c>
      <c r="G38" s="277"/>
      <c r="H38" s="277">
        <f>H36+H37</f>
        <v>785854.0164999999</v>
      </c>
      <c r="I38" s="277"/>
      <c r="J38" s="157">
        <f>D38+F38+H38</f>
        <v>2245297.19</v>
      </c>
      <c r="K38" s="124"/>
      <c r="L38" s="158"/>
      <c r="M38" s="93"/>
    </row>
    <row r="39" spans="1:13" ht="15.75">
      <c r="A39" s="159"/>
      <c r="B39" s="160"/>
      <c r="C39" s="161"/>
      <c r="D39" s="162"/>
      <c r="E39" s="162"/>
      <c r="F39" s="163"/>
      <c r="G39" s="163"/>
      <c r="H39" s="163"/>
      <c r="I39" s="163"/>
      <c r="J39" s="162"/>
      <c r="K39" s="164"/>
      <c r="L39" s="165"/>
      <c r="M39" s="93"/>
    </row>
    <row r="40" spans="1:13" ht="15.75">
      <c r="A40" s="96"/>
      <c r="B40" s="96"/>
      <c r="C40" s="96"/>
      <c r="D40" s="96"/>
      <c r="E40" s="96"/>
      <c r="F40" s="166"/>
      <c r="G40" s="166"/>
      <c r="H40" s="166"/>
      <c r="I40" s="166"/>
      <c r="J40" s="166"/>
      <c r="K40" s="92"/>
      <c r="L40" s="97"/>
      <c r="M40" s="93"/>
    </row>
    <row r="41" spans="1:13" ht="18">
      <c r="A41" s="167" t="s">
        <v>156</v>
      </c>
      <c r="B41" s="166"/>
      <c r="C41" s="168"/>
      <c r="D41" s="168"/>
      <c r="E41" s="168"/>
      <c r="F41" s="169"/>
      <c r="G41" s="96"/>
      <c r="H41" s="96"/>
      <c r="I41" s="96"/>
      <c r="J41" s="96"/>
      <c r="K41" s="97"/>
      <c r="L41" s="97"/>
      <c r="M41" s="97"/>
    </row>
    <row r="42" spans="1:13" ht="18">
      <c r="A42" s="262" t="s">
        <v>454</v>
      </c>
      <c r="B42" s="262"/>
      <c r="C42" s="262"/>
      <c r="D42" s="262"/>
      <c r="E42" s="262"/>
      <c r="F42" s="169"/>
      <c r="G42" s="96"/>
      <c r="H42" s="96"/>
      <c r="I42" s="96"/>
      <c r="J42" s="96"/>
      <c r="K42" s="97"/>
      <c r="L42" s="97"/>
      <c r="M42" s="97"/>
    </row>
    <row r="43" spans="1:13" ht="18">
      <c r="A43" s="262" t="s">
        <v>455</v>
      </c>
      <c r="B43" s="262"/>
      <c r="C43" s="262"/>
      <c r="D43" s="262"/>
      <c r="E43" s="262"/>
      <c r="F43" s="169"/>
      <c r="G43" s="96"/>
      <c r="H43" s="96"/>
      <c r="I43" s="96"/>
      <c r="J43" s="96"/>
      <c r="K43" s="97"/>
      <c r="L43" s="97"/>
      <c r="M43" s="97"/>
    </row>
    <row r="44" spans="1:5" ht="15">
      <c r="A44" s="262" t="s">
        <v>456</v>
      </c>
      <c r="B44" s="262"/>
      <c r="C44" s="262"/>
      <c r="D44" s="262"/>
      <c r="E44" s="262"/>
    </row>
    <row r="48" spans="1:3" ht="14.25">
      <c r="A48" t="s">
        <v>519</v>
      </c>
      <c r="B48" s="182"/>
      <c r="C48" s="182"/>
    </row>
    <row r="49" spans="1:5" ht="15">
      <c r="A49" s="262" t="s">
        <v>520</v>
      </c>
      <c r="B49" s="262"/>
      <c r="C49" s="262"/>
      <c r="D49" s="262"/>
      <c r="E49" s="262"/>
    </row>
    <row r="50" spans="1:5" ht="15">
      <c r="A50" s="262" t="s">
        <v>521</v>
      </c>
      <c r="B50" s="262"/>
      <c r="C50" s="262"/>
      <c r="D50" s="262"/>
      <c r="E50" s="262"/>
    </row>
    <row r="51" spans="1:5" ht="15">
      <c r="A51" s="262"/>
      <c r="B51" s="262"/>
      <c r="C51" s="262"/>
      <c r="D51" s="262"/>
      <c r="E51" s="262"/>
    </row>
  </sheetData>
  <sheetProtection/>
  <mergeCells count="91">
    <mergeCell ref="H36:I36"/>
    <mergeCell ref="A42:E42"/>
    <mergeCell ref="A43:E43"/>
    <mergeCell ref="D37:E37"/>
    <mergeCell ref="F37:G37"/>
    <mergeCell ref="H37:I37"/>
    <mergeCell ref="D38:E38"/>
    <mergeCell ref="F38:G38"/>
    <mergeCell ref="H38:I38"/>
    <mergeCell ref="D36:E36"/>
    <mergeCell ref="D25:E25"/>
    <mergeCell ref="F25:G25"/>
    <mergeCell ref="H25:I25"/>
    <mergeCell ref="D33:E33"/>
    <mergeCell ref="F33:G33"/>
    <mergeCell ref="H33:I33"/>
    <mergeCell ref="D26:E26"/>
    <mergeCell ref="F26:G26"/>
    <mergeCell ref="H26:I26"/>
    <mergeCell ref="D27:E27"/>
    <mergeCell ref="D22:E22"/>
    <mergeCell ref="F22:G22"/>
    <mergeCell ref="H22:I22"/>
    <mergeCell ref="F36:G36"/>
    <mergeCell ref="D23:E23"/>
    <mergeCell ref="F23:G23"/>
    <mergeCell ref="H23:I23"/>
    <mergeCell ref="D24:E24"/>
    <mergeCell ref="F24:G24"/>
    <mergeCell ref="H24:I24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1:E11"/>
    <mergeCell ref="F11:G11"/>
    <mergeCell ref="H11:I11"/>
    <mergeCell ref="D13:E13"/>
    <mergeCell ref="F13:G13"/>
    <mergeCell ref="H13:I13"/>
    <mergeCell ref="A1:J1"/>
    <mergeCell ref="F3:H3"/>
    <mergeCell ref="F4:H4"/>
    <mergeCell ref="B7:D7"/>
    <mergeCell ref="D10:E10"/>
    <mergeCell ref="F10:G10"/>
    <mergeCell ref="H10:I10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A49:E49"/>
    <mergeCell ref="A50:E50"/>
    <mergeCell ref="A51:E51"/>
    <mergeCell ref="D32:E32"/>
    <mergeCell ref="F32:G32"/>
    <mergeCell ref="H32:I32"/>
    <mergeCell ref="A44:E44"/>
    <mergeCell ref="D34:E34"/>
    <mergeCell ref="F34:G34"/>
    <mergeCell ref="H34:I3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Elias de Almeida</dc:creator>
  <cp:keywords/>
  <dc:description/>
  <cp:lastModifiedBy>Adriana Stocco</cp:lastModifiedBy>
  <cp:lastPrinted>2024-01-24T18:28:16Z</cp:lastPrinted>
  <dcterms:created xsi:type="dcterms:W3CDTF">2019-05-06T10:56:04Z</dcterms:created>
  <dcterms:modified xsi:type="dcterms:W3CDTF">2024-03-07T11:36:33Z</dcterms:modified>
  <cp:category/>
  <cp:version/>
  <cp:contentType/>
  <cp:contentStatus/>
  <cp:revision>588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