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\\192.168.0.2\obras\CARLOS EDUARDO\1. PAVIMENTAÇÕES\2022\2. SAM 71 - LOTE 1 - LAGOINHA-VILA MANDIRITUBA\1. FISCALIZAÇÃO\1. MEDIÇÕES\MEDIÇÃO 3\05. DOCUMENTAÇÃO COMPLEMENTAR\"/>
    </mc:Choice>
  </mc:AlternateContent>
  <xr:revisionPtr revIDLastSave="0" documentId="13_ncr:1_{219AF705-42E5-48AB-8C34-942B0D9BA9D8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MEDIÇÃO" sheetId="4" r:id="rId1"/>
    <sheet name="RESUMO" sheetId="5" r:id="rId2"/>
  </sheets>
  <definedNames>
    <definedName name="_xlnm._FilterDatabase" localSheetId="0" hidden="1">MEDIÇÃO!$A$8:$Z$202</definedName>
    <definedName name="_xlnm.Print_Area" localSheetId="0">MEDIÇÃO!$C$1:$P$209</definedName>
    <definedName name="_xlnm.Print_Area" localSheetId="1">RESUMO!$A$1:$M$41</definedName>
    <definedName name="fim" localSheetId="0">MEDIÇÃO!$P$209</definedName>
    <definedName name="_xlnm.Print_Titles" localSheetId="0">MEDIÇÃO!$8:$8</definedName>
    <definedName name="total" localSheetId="0">MEDIÇÃO!$O$202</definedName>
  </definedNames>
  <calcPr calcId="191029"/>
</workbook>
</file>

<file path=xl/calcChain.xml><?xml version="1.0" encoding="utf-8"?>
<calcChain xmlns="http://schemas.openxmlformats.org/spreadsheetml/2006/main">
  <c r="Y48" i="4" l="1"/>
  <c r="AC85" i="4"/>
  <c r="AB118" i="4"/>
  <c r="AB94" i="4"/>
  <c r="AB85" i="4"/>
  <c r="AA84" i="4"/>
  <c r="AA82" i="4"/>
  <c r="X76" i="4" l="1"/>
  <c r="X77" i="4"/>
  <c r="X79" i="4"/>
  <c r="X80" i="4"/>
  <c r="X16" i="4" s="1"/>
  <c r="X81" i="4"/>
  <c r="X82" i="4"/>
  <c r="X84" i="4"/>
  <c r="X85" i="4"/>
  <c r="X21" i="4" s="1"/>
  <c r="X86" i="4"/>
  <c r="X87" i="4"/>
  <c r="X88" i="4"/>
  <c r="X89" i="4"/>
  <c r="X91" i="4"/>
  <c r="X92" i="4"/>
  <c r="X94" i="4"/>
  <c r="X95" i="4"/>
  <c r="X31" i="4" s="1"/>
  <c r="X96" i="4"/>
  <c r="X97" i="4"/>
  <c r="X98" i="4"/>
  <c r="X99" i="4"/>
  <c r="X35" i="4" s="1"/>
  <c r="X100" i="4"/>
  <c r="X101" i="4"/>
  <c r="X102" i="4"/>
  <c r="X103" i="4"/>
  <c r="X39" i="4" s="1"/>
  <c r="X105" i="4"/>
  <c r="X106" i="4"/>
  <c r="X107" i="4"/>
  <c r="X108" i="4"/>
  <c r="X44" i="4" s="1"/>
  <c r="X110" i="4"/>
  <c r="X111" i="4"/>
  <c r="X112" i="4"/>
  <c r="X113" i="4"/>
  <c r="X49" i="4" s="1"/>
  <c r="X114" i="4"/>
  <c r="X115" i="4"/>
  <c r="X116" i="4"/>
  <c r="X117" i="4"/>
  <c r="X118" i="4"/>
  <c r="X119" i="4"/>
  <c r="X120" i="4"/>
  <c r="X121" i="4"/>
  <c r="X57" i="4" s="1"/>
  <c r="X122" i="4"/>
  <c r="X123" i="4"/>
  <c r="X124" i="4"/>
  <c r="X125" i="4"/>
  <c r="X61" i="4" s="1"/>
  <c r="X126" i="4"/>
  <c r="X128" i="4"/>
  <c r="X129" i="4"/>
  <c r="X130" i="4"/>
  <c r="X66" i="4" s="1"/>
  <c r="X131" i="4"/>
  <c r="X132" i="4"/>
  <c r="X133" i="4"/>
  <c r="X134" i="4"/>
  <c r="X135" i="4"/>
  <c r="X138" i="4"/>
  <c r="X140" i="4"/>
  <c r="X12" i="4" s="1"/>
  <c r="X141" i="4"/>
  <c r="X13" i="4" s="1"/>
  <c r="X143" i="4"/>
  <c r="X144" i="4"/>
  <c r="X145" i="4"/>
  <c r="X146" i="4"/>
  <c r="X148" i="4"/>
  <c r="X149" i="4"/>
  <c r="X150" i="4"/>
  <c r="X22" i="4" s="1"/>
  <c r="X151" i="4"/>
  <c r="X23" i="4" s="1"/>
  <c r="X152" i="4"/>
  <c r="X153" i="4"/>
  <c r="X155" i="4"/>
  <c r="X156" i="4"/>
  <c r="X28" i="4" s="1"/>
  <c r="X158" i="4"/>
  <c r="X159" i="4"/>
  <c r="X160" i="4"/>
  <c r="X32" i="4" s="1"/>
  <c r="X161" i="4"/>
  <c r="X33" i="4" s="1"/>
  <c r="X162" i="4"/>
  <c r="X163" i="4"/>
  <c r="X164" i="4"/>
  <c r="X165" i="4"/>
  <c r="X37" i="4" s="1"/>
  <c r="X166" i="4"/>
  <c r="X167" i="4"/>
  <c r="X169" i="4"/>
  <c r="X170" i="4"/>
  <c r="X42" i="4" s="1"/>
  <c r="X171" i="4"/>
  <c r="X172" i="4"/>
  <c r="X174" i="4"/>
  <c r="X175" i="4"/>
  <c r="X176" i="4"/>
  <c r="X177" i="4"/>
  <c r="X178" i="4"/>
  <c r="X50" i="4" s="1"/>
  <c r="X179" i="4"/>
  <c r="X51" i="4" s="1"/>
  <c r="X180" i="4"/>
  <c r="X181" i="4"/>
  <c r="X182" i="4"/>
  <c r="X183" i="4"/>
  <c r="X184" i="4"/>
  <c r="X185" i="4"/>
  <c r="X186" i="4"/>
  <c r="X58" i="4" s="1"/>
  <c r="X187" i="4"/>
  <c r="X59" i="4" s="1"/>
  <c r="X188" i="4"/>
  <c r="X189" i="4"/>
  <c r="X190" i="4"/>
  <c r="X192" i="4"/>
  <c r="X64" i="4" s="1"/>
  <c r="X193" i="4"/>
  <c r="X194" i="4"/>
  <c r="X195" i="4"/>
  <c r="X67" i="4" s="1"/>
  <c r="X196" i="4"/>
  <c r="X68" i="4" s="1"/>
  <c r="X197" i="4"/>
  <c r="X198" i="4"/>
  <c r="X199" i="4"/>
  <c r="AA54" i="4"/>
  <c r="AB54" i="4"/>
  <c r="AC54" i="4"/>
  <c r="AD54" i="4"/>
  <c r="AE54" i="4"/>
  <c r="AA55" i="4"/>
  <c r="AB55" i="4"/>
  <c r="AC55" i="4"/>
  <c r="AD55" i="4"/>
  <c r="AE55" i="4"/>
  <c r="AA56" i="4"/>
  <c r="AB56" i="4"/>
  <c r="AC56" i="4"/>
  <c r="AD56" i="4"/>
  <c r="AE56" i="4"/>
  <c r="AA57" i="4"/>
  <c r="AB57" i="4"/>
  <c r="AC57" i="4"/>
  <c r="AD57" i="4"/>
  <c r="AE57" i="4"/>
  <c r="AA58" i="4"/>
  <c r="AB58" i="4"/>
  <c r="AC58" i="4"/>
  <c r="AD58" i="4"/>
  <c r="AE58" i="4"/>
  <c r="AA59" i="4"/>
  <c r="AB59" i="4"/>
  <c r="AC59" i="4"/>
  <c r="AD59" i="4"/>
  <c r="AE59" i="4"/>
  <c r="AA60" i="4"/>
  <c r="AB60" i="4"/>
  <c r="AC60" i="4"/>
  <c r="AD60" i="4"/>
  <c r="AE60" i="4"/>
  <c r="AA61" i="4"/>
  <c r="AB61" i="4"/>
  <c r="AC61" i="4"/>
  <c r="AD61" i="4"/>
  <c r="AE61" i="4"/>
  <c r="AA62" i="4"/>
  <c r="AB62" i="4"/>
  <c r="AC62" i="4"/>
  <c r="AD62" i="4"/>
  <c r="AE62" i="4"/>
  <c r="AA64" i="4"/>
  <c r="AB64" i="4"/>
  <c r="AC64" i="4"/>
  <c r="AD64" i="4"/>
  <c r="AE64" i="4"/>
  <c r="AA65" i="4"/>
  <c r="AB65" i="4"/>
  <c r="AC65" i="4"/>
  <c r="AD65" i="4"/>
  <c r="AE65" i="4"/>
  <c r="AA66" i="4"/>
  <c r="AB66" i="4"/>
  <c r="AC66" i="4"/>
  <c r="AD66" i="4"/>
  <c r="AE66" i="4"/>
  <c r="AA67" i="4"/>
  <c r="AB67" i="4"/>
  <c r="AC67" i="4"/>
  <c r="AD67" i="4"/>
  <c r="AE67" i="4"/>
  <c r="AA68" i="4"/>
  <c r="AB68" i="4"/>
  <c r="AC68" i="4"/>
  <c r="AD68" i="4"/>
  <c r="AE68" i="4"/>
  <c r="AA69" i="4"/>
  <c r="AB69" i="4"/>
  <c r="AC69" i="4"/>
  <c r="AD69" i="4"/>
  <c r="AE69" i="4"/>
  <c r="AA70" i="4"/>
  <c r="AB70" i="4"/>
  <c r="AC70" i="4"/>
  <c r="AD70" i="4"/>
  <c r="AE70" i="4"/>
  <c r="AA71" i="4"/>
  <c r="AB71" i="4"/>
  <c r="AC71" i="4"/>
  <c r="AD71" i="4"/>
  <c r="AE71" i="4"/>
  <c r="X74" i="4"/>
  <c r="AB10" i="4"/>
  <c r="AC10" i="4"/>
  <c r="AD10" i="4"/>
  <c r="AE10" i="4"/>
  <c r="AB12" i="4"/>
  <c r="AC12" i="4"/>
  <c r="AD12" i="4"/>
  <c r="AE12" i="4"/>
  <c r="AB13" i="4"/>
  <c r="AC13" i="4"/>
  <c r="AD13" i="4"/>
  <c r="AE13" i="4"/>
  <c r="AB15" i="4"/>
  <c r="AC15" i="4"/>
  <c r="AD15" i="4"/>
  <c r="AE15" i="4"/>
  <c r="AB16" i="4"/>
  <c r="AC16" i="4"/>
  <c r="AD16" i="4"/>
  <c r="AE16" i="4"/>
  <c r="AB17" i="4"/>
  <c r="AC17" i="4"/>
  <c r="AD17" i="4"/>
  <c r="AE17" i="4"/>
  <c r="AB18" i="4"/>
  <c r="AC18" i="4"/>
  <c r="AD18" i="4"/>
  <c r="AE18" i="4"/>
  <c r="AB20" i="4"/>
  <c r="AC20" i="4"/>
  <c r="AD20" i="4"/>
  <c r="AE20" i="4"/>
  <c r="AB21" i="4"/>
  <c r="AC21" i="4"/>
  <c r="AD21" i="4"/>
  <c r="AE21" i="4"/>
  <c r="AB22" i="4"/>
  <c r="AC22" i="4"/>
  <c r="AD22" i="4"/>
  <c r="AE22" i="4"/>
  <c r="AB23" i="4"/>
  <c r="AC23" i="4"/>
  <c r="AD23" i="4"/>
  <c r="AE23" i="4"/>
  <c r="AB24" i="4"/>
  <c r="AC24" i="4"/>
  <c r="AD24" i="4"/>
  <c r="AE24" i="4"/>
  <c r="AB25" i="4"/>
  <c r="AC25" i="4"/>
  <c r="AD25" i="4"/>
  <c r="AE25" i="4"/>
  <c r="AB27" i="4"/>
  <c r="AC27" i="4"/>
  <c r="AD27" i="4"/>
  <c r="AE27" i="4"/>
  <c r="AB28" i="4"/>
  <c r="AC28" i="4"/>
  <c r="AD28" i="4"/>
  <c r="AE28" i="4"/>
  <c r="AB30" i="4"/>
  <c r="AC30" i="4"/>
  <c r="AD30" i="4"/>
  <c r="AE30" i="4"/>
  <c r="AB31" i="4"/>
  <c r="AC31" i="4"/>
  <c r="AD31" i="4"/>
  <c r="AE31" i="4"/>
  <c r="AB32" i="4"/>
  <c r="AC32" i="4"/>
  <c r="AD32" i="4"/>
  <c r="AE32" i="4"/>
  <c r="AB33" i="4"/>
  <c r="AC33" i="4"/>
  <c r="AD33" i="4"/>
  <c r="AE33" i="4"/>
  <c r="AB34" i="4"/>
  <c r="AC34" i="4"/>
  <c r="AD34" i="4"/>
  <c r="AE34" i="4"/>
  <c r="AB35" i="4"/>
  <c r="AC35" i="4"/>
  <c r="AD35" i="4"/>
  <c r="AE35" i="4"/>
  <c r="AB36" i="4"/>
  <c r="AC36" i="4"/>
  <c r="AD36" i="4"/>
  <c r="AE36" i="4"/>
  <c r="AB37" i="4"/>
  <c r="AC37" i="4"/>
  <c r="AD37" i="4"/>
  <c r="AE37" i="4"/>
  <c r="AB38" i="4"/>
  <c r="AC38" i="4"/>
  <c r="AD38" i="4"/>
  <c r="AE38" i="4"/>
  <c r="AB39" i="4"/>
  <c r="AC39" i="4"/>
  <c r="AD39" i="4"/>
  <c r="AE39" i="4"/>
  <c r="AB41" i="4"/>
  <c r="AC41" i="4"/>
  <c r="AD41" i="4"/>
  <c r="AE41" i="4"/>
  <c r="AB42" i="4"/>
  <c r="AC42" i="4"/>
  <c r="AD42" i="4"/>
  <c r="AE42" i="4"/>
  <c r="AB43" i="4"/>
  <c r="AC43" i="4"/>
  <c r="AD43" i="4"/>
  <c r="AE43" i="4"/>
  <c r="AB44" i="4"/>
  <c r="AC44" i="4"/>
  <c r="AD44" i="4"/>
  <c r="AE44" i="4"/>
  <c r="AB46" i="4"/>
  <c r="AC46" i="4"/>
  <c r="AD46" i="4"/>
  <c r="AE46" i="4"/>
  <c r="AB47" i="4"/>
  <c r="AC47" i="4"/>
  <c r="AD47" i="4"/>
  <c r="AE47" i="4"/>
  <c r="AB48" i="4"/>
  <c r="AC48" i="4"/>
  <c r="AD48" i="4"/>
  <c r="AE48" i="4"/>
  <c r="AB49" i="4"/>
  <c r="AC49" i="4"/>
  <c r="AD49" i="4"/>
  <c r="AE49" i="4"/>
  <c r="AB50" i="4"/>
  <c r="AC50" i="4"/>
  <c r="AD50" i="4"/>
  <c r="AE50" i="4"/>
  <c r="AB51" i="4"/>
  <c r="AC51" i="4"/>
  <c r="AD51" i="4"/>
  <c r="AE51" i="4"/>
  <c r="AB52" i="4"/>
  <c r="AC52" i="4"/>
  <c r="AD52" i="4"/>
  <c r="AE52" i="4"/>
  <c r="AB53" i="4"/>
  <c r="AC53" i="4"/>
  <c r="AD53" i="4"/>
  <c r="AE53" i="4"/>
  <c r="AA12" i="4"/>
  <c r="AA13" i="4"/>
  <c r="AA15" i="4"/>
  <c r="AA16" i="4"/>
  <c r="AA17" i="4"/>
  <c r="AA18" i="4"/>
  <c r="AA20" i="4"/>
  <c r="AA21" i="4"/>
  <c r="AA22" i="4"/>
  <c r="AA23" i="4"/>
  <c r="AA24" i="4"/>
  <c r="AA25" i="4"/>
  <c r="AA27" i="4"/>
  <c r="AA28" i="4"/>
  <c r="AA30" i="4"/>
  <c r="AA31" i="4"/>
  <c r="AA32" i="4"/>
  <c r="AA33" i="4"/>
  <c r="AA34" i="4"/>
  <c r="AA35" i="4"/>
  <c r="AA36" i="4"/>
  <c r="AA37" i="4"/>
  <c r="AA38" i="4"/>
  <c r="AA39" i="4"/>
  <c r="AA41" i="4"/>
  <c r="AA42" i="4"/>
  <c r="AA43" i="4"/>
  <c r="AA44" i="4"/>
  <c r="AA46" i="4"/>
  <c r="AA47" i="4"/>
  <c r="AA48" i="4"/>
  <c r="AA49" i="4"/>
  <c r="AA50" i="4"/>
  <c r="AA51" i="4"/>
  <c r="AA52" i="4"/>
  <c r="AA53" i="4"/>
  <c r="AA10" i="4"/>
  <c r="X24" i="4"/>
  <c r="X25" i="4"/>
  <c r="X27" i="4"/>
  <c r="X34" i="4"/>
  <c r="X36" i="4"/>
  <c r="X38" i="4"/>
  <c r="X41" i="4"/>
  <c r="X43" i="4"/>
  <c r="X46" i="4"/>
  <c r="X52" i="4"/>
  <c r="X54" i="4"/>
  <c r="X60" i="4"/>
  <c r="X62" i="4"/>
  <c r="X69" i="4"/>
  <c r="X70" i="4"/>
  <c r="X71" i="4"/>
  <c r="X15" i="4"/>
  <c r="X17" i="4"/>
  <c r="I41" i="5"/>
  <c r="F41" i="5"/>
  <c r="A41" i="5"/>
  <c r="X53" i="4" l="1"/>
  <c r="X65" i="4"/>
  <c r="X56" i="4"/>
  <c r="X48" i="4"/>
  <c r="X30" i="4"/>
  <c r="X20" i="4"/>
  <c r="X55" i="4"/>
  <c r="X47" i="4"/>
  <c r="X10" i="4"/>
  <c r="S72" i="4"/>
  <c r="T72" i="4"/>
  <c r="U72" i="4"/>
  <c r="V72" i="4"/>
  <c r="S11" i="4"/>
  <c r="T10" i="4" s="1"/>
  <c r="U11" i="4"/>
  <c r="U10" i="4" s="1"/>
  <c r="T12" i="4"/>
  <c r="V12" i="4"/>
  <c r="T13" i="4"/>
  <c r="V13" i="4"/>
  <c r="T15" i="4"/>
  <c r="V15" i="4"/>
  <c r="T16" i="4"/>
  <c r="V16" i="4"/>
  <c r="T17" i="4"/>
  <c r="V17" i="4"/>
  <c r="T18" i="4"/>
  <c r="V18" i="4"/>
  <c r="S19" i="4"/>
  <c r="U19" i="4"/>
  <c r="T20" i="4"/>
  <c r="V20" i="4"/>
  <c r="T21" i="4"/>
  <c r="V21" i="4"/>
  <c r="T22" i="4"/>
  <c r="V22" i="4"/>
  <c r="T23" i="4"/>
  <c r="V23" i="4"/>
  <c r="T24" i="4"/>
  <c r="V24" i="4"/>
  <c r="T25" i="4"/>
  <c r="V25" i="4"/>
  <c r="S26" i="4"/>
  <c r="U26" i="4"/>
  <c r="T27" i="4"/>
  <c r="V27" i="4"/>
  <c r="T28" i="4"/>
  <c r="V28" i="4"/>
  <c r="S29" i="4"/>
  <c r="U29" i="4"/>
  <c r="T30" i="4"/>
  <c r="V30" i="4"/>
  <c r="T31" i="4"/>
  <c r="V31" i="4"/>
  <c r="T32" i="4"/>
  <c r="V32" i="4"/>
  <c r="T33" i="4"/>
  <c r="V33" i="4"/>
  <c r="T34" i="4"/>
  <c r="V34" i="4"/>
  <c r="T35" i="4"/>
  <c r="V35" i="4"/>
  <c r="T36" i="4"/>
  <c r="V36" i="4"/>
  <c r="T37" i="4"/>
  <c r="V37" i="4"/>
  <c r="T38" i="4"/>
  <c r="V38" i="4"/>
  <c r="T39" i="4"/>
  <c r="V39" i="4"/>
  <c r="S40" i="4"/>
  <c r="U40" i="4"/>
  <c r="T41" i="4"/>
  <c r="V41" i="4"/>
  <c r="T42" i="4"/>
  <c r="V42" i="4"/>
  <c r="T43" i="4"/>
  <c r="V43" i="4"/>
  <c r="T44" i="4"/>
  <c r="V44" i="4"/>
  <c r="S45" i="4"/>
  <c r="U45" i="4"/>
  <c r="T46" i="4"/>
  <c r="V46" i="4"/>
  <c r="T47" i="4"/>
  <c r="V47" i="4"/>
  <c r="T49" i="4"/>
  <c r="V49" i="4"/>
  <c r="T50" i="4"/>
  <c r="V50" i="4"/>
  <c r="T51" i="4"/>
  <c r="V51" i="4"/>
  <c r="T52" i="4"/>
  <c r="V52" i="4"/>
  <c r="T53" i="4"/>
  <c r="V53" i="4"/>
  <c r="T54" i="4"/>
  <c r="V54" i="4"/>
  <c r="T55" i="4"/>
  <c r="V55" i="4"/>
  <c r="T56" i="4"/>
  <c r="V56" i="4"/>
  <c r="T57" i="4"/>
  <c r="V57" i="4"/>
  <c r="T58" i="4"/>
  <c r="V58" i="4"/>
  <c r="T59" i="4"/>
  <c r="V59" i="4"/>
  <c r="T60" i="4"/>
  <c r="V60" i="4"/>
  <c r="T62" i="4"/>
  <c r="V62" i="4"/>
  <c r="T64" i="4"/>
  <c r="V64" i="4"/>
  <c r="T65" i="4"/>
  <c r="V65" i="4"/>
  <c r="T66" i="4"/>
  <c r="V66" i="4"/>
  <c r="T67" i="4"/>
  <c r="V67" i="4"/>
  <c r="T68" i="4"/>
  <c r="V68" i="4"/>
  <c r="T69" i="4"/>
  <c r="V69" i="4"/>
  <c r="T70" i="4"/>
  <c r="V70" i="4"/>
  <c r="T71" i="4"/>
  <c r="V71" i="4"/>
  <c r="V10" i="4" l="1"/>
  <c r="Y131" i="4" l="1"/>
  <c r="J131" i="4" s="1"/>
  <c r="Y130" i="4"/>
  <c r="J130" i="4" s="1"/>
  <c r="Y125" i="4"/>
  <c r="J125" i="4" s="1"/>
  <c r="Y108" i="4"/>
  <c r="J108" i="4" s="1"/>
  <c r="Y97" i="4"/>
  <c r="J97" i="4" s="1"/>
  <c r="Y96" i="4"/>
  <c r="J96" i="4" s="1"/>
  <c r="Y91" i="4"/>
  <c r="J91" i="4" s="1"/>
  <c r="Y89" i="4"/>
  <c r="J89" i="4" s="1"/>
  <c r="Y87" i="4"/>
  <c r="J87" i="4" s="1"/>
  <c r="Y85" i="4"/>
  <c r="J85" i="4" s="1"/>
  <c r="X18" i="4"/>
  <c r="Y199" i="4"/>
  <c r="J199" i="4" s="1"/>
  <c r="K199" i="4"/>
  <c r="Y198" i="4"/>
  <c r="J198" i="4" s="1"/>
  <c r="Y197" i="4"/>
  <c r="J197" i="4" s="1"/>
  <c r="K197" i="4"/>
  <c r="Y196" i="4"/>
  <c r="J196" i="4" s="1"/>
  <c r="Y195" i="4"/>
  <c r="J195" i="4" s="1"/>
  <c r="K195" i="4"/>
  <c r="Y194" i="4"/>
  <c r="J194" i="4" s="1"/>
  <c r="Y193" i="4"/>
  <c r="J193" i="4" s="1"/>
  <c r="K193" i="4"/>
  <c r="Y192" i="4"/>
  <c r="J192" i="4" s="1"/>
  <c r="Y191" i="4"/>
  <c r="K191" i="4"/>
  <c r="L191" i="4"/>
  <c r="Y190" i="4"/>
  <c r="J190" i="4" s="1"/>
  <c r="Y189" i="4"/>
  <c r="J189" i="4" s="1"/>
  <c r="K189" i="4"/>
  <c r="Y188" i="4"/>
  <c r="J188" i="4" s="1"/>
  <c r="K188" i="4"/>
  <c r="Y187" i="4"/>
  <c r="J187" i="4" s="1"/>
  <c r="K187" i="4"/>
  <c r="Y186" i="4"/>
  <c r="J186" i="4" s="1"/>
  <c r="K186" i="4"/>
  <c r="Y185" i="4"/>
  <c r="J185" i="4" s="1"/>
  <c r="K185" i="4"/>
  <c r="Y184" i="4"/>
  <c r="J184" i="4" s="1"/>
  <c r="K184" i="4"/>
  <c r="Y183" i="4"/>
  <c r="J183" i="4" s="1"/>
  <c r="K183" i="4"/>
  <c r="Y182" i="4"/>
  <c r="J182" i="4" s="1"/>
  <c r="K182" i="4"/>
  <c r="Y181" i="4"/>
  <c r="J181" i="4" s="1"/>
  <c r="K181" i="4"/>
  <c r="Y180" i="4"/>
  <c r="J180" i="4" s="1"/>
  <c r="K180" i="4"/>
  <c r="Y179" i="4"/>
  <c r="J179" i="4" s="1"/>
  <c r="K179" i="4"/>
  <c r="Y178" i="4"/>
  <c r="J178" i="4" s="1"/>
  <c r="K178" i="4"/>
  <c r="Y177" i="4"/>
  <c r="J177" i="4" s="1"/>
  <c r="K177" i="4"/>
  <c r="Y176" i="4"/>
  <c r="J176" i="4" s="1"/>
  <c r="K176" i="4"/>
  <c r="Y175" i="4"/>
  <c r="J175" i="4" s="1"/>
  <c r="K175" i="4"/>
  <c r="Y174" i="4"/>
  <c r="J174" i="4" s="1"/>
  <c r="K174" i="4"/>
  <c r="Y173" i="4"/>
  <c r="K173" i="4"/>
  <c r="L173" i="4"/>
  <c r="Y172" i="4"/>
  <c r="J172" i="4" s="1"/>
  <c r="Y171" i="4"/>
  <c r="J171" i="4" s="1"/>
  <c r="K171" i="4"/>
  <c r="Y170" i="4"/>
  <c r="J170" i="4" s="1"/>
  <c r="K170" i="4"/>
  <c r="Y169" i="4"/>
  <c r="J169" i="4" s="1"/>
  <c r="K169" i="4"/>
  <c r="Y168" i="4"/>
  <c r="K168" i="4"/>
  <c r="L168" i="4"/>
  <c r="Y167" i="4"/>
  <c r="J167" i="4" s="1"/>
  <c r="K167" i="4"/>
  <c r="Y166" i="4"/>
  <c r="J166" i="4" s="1"/>
  <c r="K166" i="4"/>
  <c r="Y165" i="4"/>
  <c r="J165" i="4" s="1"/>
  <c r="K165" i="4"/>
  <c r="Y164" i="4"/>
  <c r="J164" i="4" s="1"/>
  <c r="Y163" i="4"/>
  <c r="J163" i="4" s="1"/>
  <c r="K163" i="4"/>
  <c r="Y162" i="4"/>
  <c r="J162" i="4" s="1"/>
  <c r="K162" i="4"/>
  <c r="Y161" i="4"/>
  <c r="J161" i="4" s="1"/>
  <c r="K161" i="4"/>
  <c r="Y160" i="4"/>
  <c r="J160" i="4" s="1"/>
  <c r="K160" i="4"/>
  <c r="Y159" i="4"/>
  <c r="J159" i="4" s="1"/>
  <c r="K159" i="4"/>
  <c r="Y158" i="4"/>
  <c r="J158" i="4" s="1"/>
  <c r="Y157" i="4"/>
  <c r="K157" i="4"/>
  <c r="L157" i="4"/>
  <c r="Y156" i="4"/>
  <c r="J156" i="4" s="1"/>
  <c r="K156" i="4"/>
  <c r="Y155" i="4"/>
  <c r="J155" i="4" s="1"/>
  <c r="Y154" i="4"/>
  <c r="K154" i="4"/>
  <c r="L154" i="4"/>
  <c r="Y153" i="4"/>
  <c r="J153" i="4" s="1"/>
  <c r="K153" i="4"/>
  <c r="Y152" i="4"/>
  <c r="J152" i="4" s="1"/>
  <c r="Y151" i="4"/>
  <c r="J151" i="4" s="1"/>
  <c r="K151" i="4"/>
  <c r="Y150" i="4"/>
  <c r="J150" i="4" s="1"/>
  <c r="Y149" i="4"/>
  <c r="J149" i="4" s="1"/>
  <c r="K149" i="4"/>
  <c r="Y148" i="4"/>
  <c r="J148" i="4" s="1"/>
  <c r="K148" i="4"/>
  <c r="Y147" i="4"/>
  <c r="K147" i="4"/>
  <c r="L147" i="4"/>
  <c r="Y146" i="4"/>
  <c r="J146" i="4" s="1"/>
  <c r="K146" i="4"/>
  <c r="Y145" i="4"/>
  <c r="J145" i="4" s="1"/>
  <c r="K145" i="4"/>
  <c r="Y144" i="4"/>
  <c r="J144" i="4" s="1"/>
  <c r="K144" i="4"/>
  <c r="Y143" i="4"/>
  <c r="J143" i="4" s="1"/>
  <c r="K143" i="4"/>
  <c r="Y142" i="4"/>
  <c r="L142" i="4"/>
  <c r="K142" i="4"/>
  <c r="Y141" i="4"/>
  <c r="J141" i="4" s="1"/>
  <c r="K141" i="4"/>
  <c r="Y140" i="4"/>
  <c r="J140" i="4" s="1"/>
  <c r="K140" i="4"/>
  <c r="Y139" i="4"/>
  <c r="L139" i="4"/>
  <c r="K139" i="4"/>
  <c r="Y138" i="4"/>
  <c r="J138" i="4" s="1"/>
  <c r="K138" i="4"/>
  <c r="Y137" i="4"/>
  <c r="K137" i="4"/>
  <c r="L137" i="4"/>
  <c r="Y136" i="4"/>
  <c r="K136" i="4"/>
  <c r="L136" i="4"/>
  <c r="O72" i="4"/>
  <c r="K72" i="4" s="1"/>
  <c r="N72" i="4"/>
  <c r="L72" i="4"/>
  <c r="Y135" i="4"/>
  <c r="J135" i="4" s="1"/>
  <c r="Y134" i="4"/>
  <c r="J134" i="4" s="1"/>
  <c r="K134" i="4"/>
  <c r="Y133" i="4"/>
  <c r="J133" i="4" s="1"/>
  <c r="Y132" i="4"/>
  <c r="J132" i="4" s="1"/>
  <c r="K132" i="4"/>
  <c r="K130" i="4"/>
  <c r="Y129" i="4"/>
  <c r="J129" i="4" s="1"/>
  <c r="K128" i="4"/>
  <c r="Y127" i="4"/>
  <c r="K127" i="4"/>
  <c r="L127" i="4"/>
  <c r="K125" i="4"/>
  <c r="Y124" i="4"/>
  <c r="J124" i="4" s="1"/>
  <c r="Y123" i="4"/>
  <c r="J123" i="4" s="1"/>
  <c r="K123" i="4"/>
  <c r="Y122" i="4"/>
  <c r="J122" i="4" s="1"/>
  <c r="Y121" i="4"/>
  <c r="J121" i="4" s="1"/>
  <c r="K121" i="4"/>
  <c r="Y120" i="4"/>
  <c r="J120" i="4" s="1"/>
  <c r="Y119" i="4"/>
  <c r="J119" i="4" s="1"/>
  <c r="K119" i="4"/>
  <c r="Y118" i="4"/>
  <c r="J118" i="4" s="1"/>
  <c r="Y117" i="4"/>
  <c r="J117" i="4" s="1"/>
  <c r="K117" i="4"/>
  <c r="Y116" i="4"/>
  <c r="J116" i="4" s="1"/>
  <c r="Y115" i="4"/>
  <c r="J115" i="4" s="1"/>
  <c r="K115" i="4"/>
  <c r="Y114" i="4"/>
  <c r="J114" i="4" s="1"/>
  <c r="Y113" i="4"/>
  <c r="J113" i="4" s="1"/>
  <c r="K113" i="4"/>
  <c r="Y112" i="4"/>
  <c r="J112" i="4" s="1"/>
  <c r="Y111" i="4"/>
  <c r="J111" i="4" s="1"/>
  <c r="K111" i="4"/>
  <c r="Y110" i="4"/>
  <c r="J110" i="4" s="1"/>
  <c r="Y109" i="4"/>
  <c r="K109" i="4"/>
  <c r="L109" i="4"/>
  <c r="K108" i="4"/>
  <c r="Y107" i="4"/>
  <c r="J107" i="4" s="1"/>
  <c r="K107" i="4"/>
  <c r="Y106" i="4"/>
  <c r="J106" i="4" s="1"/>
  <c r="K106" i="4"/>
  <c r="Y105" i="4"/>
  <c r="J105" i="4" s="1"/>
  <c r="K105" i="4"/>
  <c r="Y104" i="4"/>
  <c r="K104" i="4"/>
  <c r="L104" i="4"/>
  <c r="Y103" i="4"/>
  <c r="J103" i="4" s="1"/>
  <c r="K103" i="4"/>
  <c r="Y102" i="4"/>
  <c r="J102" i="4" s="1"/>
  <c r="K102" i="4"/>
  <c r="Y101" i="4"/>
  <c r="J101" i="4" s="1"/>
  <c r="K101" i="4"/>
  <c r="Y100" i="4"/>
  <c r="J100" i="4" s="1"/>
  <c r="K100" i="4"/>
  <c r="Y99" i="4"/>
  <c r="J99" i="4" s="1"/>
  <c r="K99" i="4"/>
  <c r="Y98" i="4"/>
  <c r="J98" i="4" s="1"/>
  <c r="K96" i="4"/>
  <c r="Y95" i="4"/>
  <c r="J95" i="4" s="1"/>
  <c r="K95" i="4"/>
  <c r="Y94" i="4"/>
  <c r="J94" i="4" s="1"/>
  <c r="K94" i="4"/>
  <c r="Y93" i="4"/>
  <c r="K93" i="4"/>
  <c r="L93" i="4"/>
  <c r="Y92" i="4"/>
  <c r="J92" i="4" s="1"/>
  <c r="K92" i="4"/>
  <c r="K91" i="4"/>
  <c r="Y90" i="4"/>
  <c r="K90" i="4"/>
  <c r="L90" i="4"/>
  <c r="K89" i="4"/>
  <c r="K88" i="4"/>
  <c r="K87" i="4"/>
  <c r="Y86" i="4"/>
  <c r="J86" i="4" s="1"/>
  <c r="K86" i="4"/>
  <c r="K85" i="4"/>
  <c r="Y84" i="4"/>
  <c r="J84" i="4" s="1"/>
  <c r="Y83" i="4"/>
  <c r="L83" i="4"/>
  <c r="Y82" i="4"/>
  <c r="J82" i="4" s="1"/>
  <c r="Y80" i="4"/>
  <c r="J80" i="4" s="1"/>
  <c r="Y79" i="4"/>
  <c r="J79" i="4" s="1"/>
  <c r="K79" i="4"/>
  <c r="Y78" i="4"/>
  <c r="K78" i="4"/>
  <c r="L78" i="4"/>
  <c r="Y77" i="4"/>
  <c r="J77" i="4" s="1"/>
  <c r="Y76" i="4"/>
  <c r="J76" i="4" s="1"/>
  <c r="K76" i="4"/>
  <c r="K75" i="4"/>
  <c r="L75" i="4"/>
  <c r="Y74" i="4"/>
  <c r="J74" i="4" s="1"/>
  <c r="O73" i="4"/>
  <c r="K73" i="4" s="1"/>
  <c r="N73" i="4"/>
  <c r="L73" i="4"/>
  <c r="P72" i="4" l="1"/>
  <c r="L181" i="4"/>
  <c r="L175" i="4"/>
  <c r="L185" i="4"/>
  <c r="L179" i="4"/>
  <c r="L151" i="4"/>
  <c r="L165" i="4"/>
  <c r="L189" i="4"/>
  <c r="L183" i="4"/>
  <c r="L177" i="4"/>
  <c r="L187" i="4"/>
  <c r="Y128" i="4"/>
  <c r="J128" i="4" s="1"/>
  <c r="L128" i="4" s="1"/>
  <c r="Y126" i="4"/>
  <c r="J126" i="4" s="1"/>
  <c r="Y88" i="4"/>
  <c r="J88" i="4" s="1"/>
  <c r="Y81" i="4"/>
  <c r="J81" i="4" s="1"/>
  <c r="L174" i="4"/>
  <c r="L178" i="4"/>
  <c r="L182" i="4"/>
  <c r="L186" i="4"/>
  <c r="L153" i="4"/>
  <c r="L167" i="4"/>
  <c r="L156" i="4"/>
  <c r="L170" i="4"/>
  <c r="L138" i="4"/>
  <c r="L141" i="4"/>
  <c r="L144" i="4"/>
  <c r="L159" i="4"/>
  <c r="L161" i="4"/>
  <c r="L146" i="4"/>
  <c r="L149" i="4"/>
  <c r="L163" i="4"/>
  <c r="L176" i="4"/>
  <c r="L180" i="4"/>
  <c r="L184" i="4"/>
  <c r="L188" i="4"/>
  <c r="L171" i="4"/>
  <c r="L140" i="4"/>
  <c r="L143" i="4"/>
  <c r="L145" i="4"/>
  <c r="L148" i="4"/>
  <c r="L160" i="4"/>
  <c r="L162" i="4"/>
  <c r="K152" i="4"/>
  <c r="L152" i="4" s="1"/>
  <c r="K155" i="4"/>
  <c r="L155" i="4" s="1"/>
  <c r="K158" i="4"/>
  <c r="L158" i="4" s="1"/>
  <c r="K192" i="4"/>
  <c r="L192" i="4" s="1"/>
  <c r="K194" i="4"/>
  <c r="L194" i="4" s="1"/>
  <c r="K196" i="4"/>
  <c r="L196" i="4" s="1"/>
  <c r="K198" i="4"/>
  <c r="L198" i="4" s="1"/>
  <c r="L166" i="4"/>
  <c r="L169" i="4"/>
  <c r="K190" i="4"/>
  <c r="L190" i="4" s="1"/>
  <c r="K150" i="4"/>
  <c r="L150" i="4" s="1"/>
  <c r="K164" i="4"/>
  <c r="L164" i="4" s="1"/>
  <c r="K172" i="4"/>
  <c r="L172" i="4" s="1"/>
  <c r="L193" i="4"/>
  <c r="L195" i="4"/>
  <c r="L197" i="4"/>
  <c r="L199" i="4"/>
  <c r="L85" i="4"/>
  <c r="K82" i="4"/>
  <c r="L82" i="4" s="1"/>
  <c r="P73" i="4"/>
  <c r="L107" i="4"/>
  <c r="L79" i="4"/>
  <c r="L99" i="4"/>
  <c r="L101" i="4"/>
  <c r="L121" i="4"/>
  <c r="L96" i="4"/>
  <c r="L123" i="4"/>
  <c r="L87" i="4"/>
  <c r="L103" i="4"/>
  <c r="L106" i="4"/>
  <c r="L125" i="4"/>
  <c r="L108" i="4"/>
  <c r="L100" i="4"/>
  <c r="L89" i="4"/>
  <c r="L111" i="4"/>
  <c r="L92" i="4"/>
  <c r="L95" i="4"/>
  <c r="L113" i="4"/>
  <c r="L115" i="4"/>
  <c r="L76" i="4"/>
  <c r="L86" i="4"/>
  <c r="L117" i="4"/>
  <c r="L119" i="4"/>
  <c r="K74" i="4"/>
  <c r="L74" i="4" s="1"/>
  <c r="K77" i="4"/>
  <c r="L77" i="4" s="1"/>
  <c r="K80" i="4"/>
  <c r="L80" i="4" s="1"/>
  <c r="K83" i="4"/>
  <c r="L91" i="4"/>
  <c r="L94" i="4"/>
  <c r="K97" i="4"/>
  <c r="L97" i="4" s="1"/>
  <c r="L102" i="4"/>
  <c r="L105" i="4"/>
  <c r="K110" i="4"/>
  <c r="L110" i="4" s="1"/>
  <c r="K112" i="4"/>
  <c r="L112" i="4" s="1"/>
  <c r="K114" i="4"/>
  <c r="L114" i="4" s="1"/>
  <c r="K116" i="4"/>
  <c r="L116" i="4" s="1"/>
  <c r="K118" i="4"/>
  <c r="L118" i="4" s="1"/>
  <c r="K120" i="4"/>
  <c r="L120" i="4" s="1"/>
  <c r="K122" i="4"/>
  <c r="L122" i="4" s="1"/>
  <c r="K124" i="4"/>
  <c r="K126" i="4"/>
  <c r="L130" i="4"/>
  <c r="L132" i="4"/>
  <c r="L134" i="4"/>
  <c r="L124" i="4"/>
  <c r="K84" i="4"/>
  <c r="L84" i="4" s="1"/>
  <c r="K98" i="4"/>
  <c r="L98" i="4" s="1"/>
  <c r="K129" i="4"/>
  <c r="L129" i="4" s="1"/>
  <c r="K131" i="4"/>
  <c r="L131" i="4" s="1"/>
  <c r="K133" i="4"/>
  <c r="L133" i="4" s="1"/>
  <c r="K135" i="4"/>
  <c r="L135" i="4" s="1"/>
  <c r="K81" i="4"/>
  <c r="L126" i="4" l="1"/>
  <c r="L88" i="4"/>
  <c r="L81" i="4"/>
  <c r="L9" i="4"/>
  <c r="N9" i="4"/>
  <c r="O9" i="4"/>
  <c r="S9" i="4"/>
  <c r="U9" i="4"/>
  <c r="Y9" i="4"/>
  <c r="O10" i="4"/>
  <c r="K10" i="4" s="1"/>
  <c r="Y10" i="4"/>
  <c r="J10" i="4" s="1"/>
  <c r="L11" i="4"/>
  <c r="N11" i="4"/>
  <c r="O11" i="4"/>
  <c r="K11" i="4" s="1"/>
  <c r="Y11" i="4"/>
  <c r="O12" i="4"/>
  <c r="Y12" i="4"/>
  <c r="J12" i="4" s="1"/>
  <c r="O13" i="4"/>
  <c r="Y13" i="4"/>
  <c r="J13" i="4" s="1"/>
  <c r="L14" i="4"/>
  <c r="O14" i="4"/>
  <c r="K14" i="4" s="1"/>
  <c r="O15" i="4"/>
  <c r="K15" i="4" s="1"/>
  <c r="Y15" i="4"/>
  <c r="J15" i="4" s="1"/>
  <c r="O16" i="4"/>
  <c r="Y16" i="4"/>
  <c r="J16" i="4" s="1"/>
  <c r="O17" i="4"/>
  <c r="Y17" i="4"/>
  <c r="J17" i="4" s="1"/>
  <c r="O18" i="4"/>
  <c r="Y18" i="4"/>
  <c r="J18" i="4" s="1"/>
  <c r="L19" i="4"/>
  <c r="N19" i="4"/>
  <c r="O19" i="4"/>
  <c r="K19" i="4" s="1"/>
  <c r="O20" i="4"/>
  <c r="K20" i="4" s="1"/>
  <c r="Y20" i="4"/>
  <c r="J20" i="4" s="1"/>
  <c r="O21" i="4"/>
  <c r="Y21" i="4"/>
  <c r="J21" i="4" s="1"/>
  <c r="O22" i="4"/>
  <c r="Y22" i="4"/>
  <c r="J22" i="4" s="1"/>
  <c r="O23" i="4"/>
  <c r="K23" i="4" s="1"/>
  <c r="Y23" i="4"/>
  <c r="J23" i="4" s="1"/>
  <c r="O24" i="4"/>
  <c r="K24" i="4" s="1"/>
  <c r="Y24" i="4"/>
  <c r="J24" i="4" s="1"/>
  <c r="O25" i="4"/>
  <c r="Y25" i="4"/>
  <c r="J25" i="4" s="1"/>
  <c r="L26" i="4"/>
  <c r="N26" i="4"/>
  <c r="O26" i="4"/>
  <c r="K26" i="4" s="1"/>
  <c r="O27" i="4"/>
  <c r="Y27" i="4"/>
  <c r="J27" i="4" s="1"/>
  <c r="O28" i="4"/>
  <c r="U28" i="4" s="1"/>
  <c r="Y28" i="4"/>
  <c r="J28" i="4" s="1"/>
  <c r="L29" i="4"/>
  <c r="N29" i="4"/>
  <c r="O29" i="4"/>
  <c r="K29" i="4" s="1"/>
  <c r="O30" i="4"/>
  <c r="Y30" i="4"/>
  <c r="J30" i="4" s="1"/>
  <c r="O31" i="4"/>
  <c r="Y31" i="4"/>
  <c r="J31" i="4" s="1"/>
  <c r="O32" i="4"/>
  <c r="Y32" i="4"/>
  <c r="J32" i="4" s="1"/>
  <c r="O33" i="4"/>
  <c r="K33" i="4" s="1"/>
  <c r="Y33" i="4"/>
  <c r="J33" i="4" s="1"/>
  <c r="O34" i="4"/>
  <c r="K34" i="4" s="1"/>
  <c r="Y34" i="4"/>
  <c r="J34" i="4" s="1"/>
  <c r="O35" i="4"/>
  <c r="Y35" i="4"/>
  <c r="J35" i="4" s="1"/>
  <c r="O36" i="4"/>
  <c r="K36" i="4" s="1"/>
  <c r="Y36" i="4"/>
  <c r="J36" i="4" s="1"/>
  <c r="O37" i="4"/>
  <c r="K37" i="4" s="1"/>
  <c r="Y37" i="4"/>
  <c r="J37" i="4" s="1"/>
  <c r="O38" i="4"/>
  <c r="Y38" i="4"/>
  <c r="J38" i="4" s="1"/>
  <c r="O39" i="4"/>
  <c r="Y39" i="4"/>
  <c r="J39" i="4" s="1"/>
  <c r="L40" i="4"/>
  <c r="N40" i="4"/>
  <c r="O40" i="4"/>
  <c r="K40" i="4" s="1"/>
  <c r="O41" i="4"/>
  <c r="Y41" i="4"/>
  <c r="J41" i="4" s="1"/>
  <c r="O42" i="4"/>
  <c r="Y42" i="4"/>
  <c r="J42" i="4" s="1"/>
  <c r="O43" i="4"/>
  <c r="Y43" i="4"/>
  <c r="J43" i="4" s="1"/>
  <c r="O44" i="4"/>
  <c r="U44" i="4" s="1"/>
  <c r="Y44" i="4"/>
  <c r="J44" i="4" s="1"/>
  <c r="L45" i="4"/>
  <c r="N45" i="4"/>
  <c r="O45" i="4"/>
  <c r="K45" i="4" s="1"/>
  <c r="O46" i="4"/>
  <c r="Y46" i="4"/>
  <c r="J46" i="4" s="1"/>
  <c r="O47" i="4"/>
  <c r="Y47" i="4"/>
  <c r="J47" i="4" s="1"/>
  <c r="O48" i="4"/>
  <c r="J48" i="4"/>
  <c r="O49" i="4"/>
  <c r="K49" i="4" s="1"/>
  <c r="Y49" i="4"/>
  <c r="J49" i="4" s="1"/>
  <c r="O50" i="4"/>
  <c r="K50" i="4" s="1"/>
  <c r="Y50" i="4"/>
  <c r="J50" i="4" s="1"/>
  <c r="O51" i="4"/>
  <c r="Y51" i="4"/>
  <c r="J51" i="4" s="1"/>
  <c r="O52" i="4"/>
  <c r="Y52" i="4"/>
  <c r="J52" i="4" s="1"/>
  <c r="O53" i="4"/>
  <c r="K53" i="4" s="1"/>
  <c r="Y53" i="4"/>
  <c r="J53" i="4" s="1"/>
  <c r="O54" i="4"/>
  <c r="K54" i="4" s="1"/>
  <c r="Y54" i="4"/>
  <c r="J54" i="4" s="1"/>
  <c r="O55" i="4"/>
  <c r="Y55" i="4"/>
  <c r="J55" i="4" s="1"/>
  <c r="O56" i="4"/>
  <c r="Y56" i="4"/>
  <c r="J56" i="4" s="1"/>
  <c r="O57" i="4"/>
  <c r="Y57" i="4"/>
  <c r="J57" i="4" s="1"/>
  <c r="O58" i="4"/>
  <c r="Y58" i="4"/>
  <c r="J58" i="4" s="1"/>
  <c r="O59" i="4"/>
  <c r="Y59" i="4"/>
  <c r="J59" i="4" s="1"/>
  <c r="O60" i="4"/>
  <c r="K60" i="4" s="1"/>
  <c r="Y60" i="4"/>
  <c r="J60" i="4" s="1"/>
  <c r="O61" i="4"/>
  <c r="Y61" i="4"/>
  <c r="J61" i="4" s="1"/>
  <c r="O62" i="4"/>
  <c r="K62" i="4" s="1"/>
  <c r="Y62" i="4"/>
  <c r="J62" i="4" s="1"/>
  <c r="L63" i="4"/>
  <c r="O63" i="4"/>
  <c r="K63" i="4" s="1"/>
  <c r="O64" i="4"/>
  <c r="K64" i="4" s="1"/>
  <c r="Y64" i="4"/>
  <c r="J64" i="4" s="1"/>
  <c r="O65" i="4"/>
  <c r="Y65" i="4"/>
  <c r="J65" i="4" s="1"/>
  <c r="O66" i="4"/>
  <c r="Y66" i="4"/>
  <c r="J66" i="4" s="1"/>
  <c r="O67" i="4"/>
  <c r="Y67" i="4"/>
  <c r="J67" i="4" s="1"/>
  <c r="O68" i="4"/>
  <c r="Y68" i="4"/>
  <c r="J68" i="4" s="1"/>
  <c r="O69" i="4"/>
  <c r="K69" i="4" s="1"/>
  <c r="Y69" i="4"/>
  <c r="J69" i="4" s="1"/>
  <c r="O70" i="4"/>
  <c r="Y70" i="4"/>
  <c r="J70" i="4" s="1"/>
  <c r="O71" i="4"/>
  <c r="U71" i="4" s="1"/>
  <c r="Y71" i="4"/>
  <c r="J71" i="4" s="1"/>
  <c r="H200" i="4"/>
  <c r="L200" i="4"/>
  <c r="N200" i="4"/>
  <c r="O200" i="4"/>
  <c r="K200" i="4" s="1"/>
  <c r="Y200" i="4"/>
  <c r="D4" i="5"/>
  <c r="K4" i="5"/>
  <c r="D5" i="5"/>
  <c r="K5" i="5"/>
  <c r="F8" i="5"/>
  <c r="F9" i="5"/>
  <c r="H9" i="5"/>
  <c r="K9" i="5"/>
  <c r="F10" i="5"/>
  <c r="K10" i="5"/>
  <c r="D11" i="5"/>
  <c r="D12" i="5"/>
  <c r="B16" i="5"/>
  <c r="C16" i="5"/>
  <c r="S16" i="5" s="1"/>
  <c r="B17" i="5"/>
  <c r="C17" i="5"/>
  <c r="B18" i="5"/>
  <c r="C18" i="5"/>
  <c r="B19" i="5"/>
  <c r="C19" i="5"/>
  <c r="B20" i="5"/>
  <c r="C20" i="5"/>
  <c r="B21" i="5"/>
  <c r="C21" i="5"/>
  <c r="B22" i="5"/>
  <c r="C22" i="5"/>
  <c r="B23" i="5"/>
  <c r="C23" i="5"/>
  <c r="B24" i="5"/>
  <c r="C24" i="5"/>
  <c r="B25" i="5"/>
  <c r="C25" i="5"/>
  <c r="K25" i="5" s="1"/>
  <c r="H27" i="5"/>
  <c r="H28" i="5"/>
  <c r="H29" i="5"/>
  <c r="O29" i="5"/>
  <c r="O204" i="4" s="1"/>
  <c r="U70" i="4" l="1"/>
  <c r="U69" i="4" s="1"/>
  <c r="U27" i="4"/>
  <c r="V26" i="4" s="1"/>
  <c r="P9" i="4"/>
  <c r="K18" i="4"/>
  <c r="L18" i="4" s="1"/>
  <c r="U18" i="4"/>
  <c r="U17" i="4" s="1"/>
  <c r="U16" i="4" s="1"/>
  <c r="U15" i="4" s="1"/>
  <c r="K25" i="4"/>
  <c r="U25" i="4"/>
  <c r="U24" i="4" s="1"/>
  <c r="U23" i="4" s="1"/>
  <c r="U22" i="4" s="1"/>
  <c r="U21" i="4" s="1"/>
  <c r="U20" i="4" s="1"/>
  <c r="V19" i="4" s="1"/>
  <c r="K39" i="4"/>
  <c r="U39" i="4"/>
  <c r="U38" i="4" s="1"/>
  <c r="U37" i="4" s="1"/>
  <c r="U36" i="4" s="1"/>
  <c r="U35" i="4" s="1"/>
  <c r="U34" i="4" s="1"/>
  <c r="U33" i="4" s="1"/>
  <c r="U32" i="4" s="1"/>
  <c r="U31" i="4" s="1"/>
  <c r="U30" i="4" s="1"/>
  <c r="V29" i="4" s="1"/>
  <c r="K30" i="4"/>
  <c r="U43" i="4"/>
  <c r="U42" i="4" s="1"/>
  <c r="U41" i="4" s="1"/>
  <c r="V40" i="4" s="1"/>
  <c r="K42" i="4"/>
  <c r="L42" i="4" s="1"/>
  <c r="K68" i="4"/>
  <c r="U68" i="4"/>
  <c r="U67" i="4" s="1"/>
  <c r="U66" i="4" s="1"/>
  <c r="U65" i="4" s="1"/>
  <c r="U64" i="4" s="1"/>
  <c r="V63" i="4" s="1"/>
  <c r="K67" i="4"/>
  <c r="L50" i="4"/>
  <c r="U63" i="4"/>
  <c r="U62" i="4" s="1"/>
  <c r="N63" i="4"/>
  <c r="P63" i="4" s="1"/>
  <c r="K59" i="4"/>
  <c r="L59" i="4" s="1"/>
  <c r="N14" i="4"/>
  <c r="P14" i="4" s="1"/>
  <c r="K17" i="4"/>
  <c r="L17" i="4" s="1"/>
  <c r="K12" i="4"/>
  <c r="L12" i="4" s="1"/>
  <c r="N57" i="4"/>
  <c r="P57" i="4" s="1"/>
  <c r="L37" i="4"/>
  <c r="N35" i="4"/>
  <c r="P35" i="4" s="1"/>
  <c r="N28" i="4"/>
  <c r="S28" i="4" s="1"/>
  <c r="L60" i="4"/>
  <c r="N52" i="4"/>
  <c r="P52" i="4" s="1"/>
  <c r="L33" i="4"/>
  <c r="L67" i="4"/>
  <c r="L23" i="4"/>
  <c r="N31" i="4"/>
  <c r="P31" i="4" s="1"/>
  <c r="N55" i="4"/>
  <c r="P55" i="4" s="1"/>
  <c r="K52" i="4"/>
  <c r="L52" i="4" s="1"/>
  <c r="L49" i="4"/>
  <c r="N41" i="4"/>
  <c r="P41" i="4" s="1"/>
  <c r="L20" i="4"/>
  <c r="N58" i="4"/>
  <c r="P58" i="4" s="1"/>
  <c r="L54" i="4"/>
  <c r="L68" i="4"/>
  <c r="N70" i="4"/>
  <c r="P70" i="4" s="1"/>
  <c r="N61" i="4"/>
  <c r="P61" i="4" s="1"/>
  <c r="N43" i="4"/>
  <c r="P43" i="4" s="1"/>
  <c r="N37" i="4"/>
  <c r="P37" i="4" s="1"/>
  <c r="N32" i="4"/>
  <c r="P32" i="4" s="1"/>
  <c r="N27" i="4"/>
  <c r="P27" i="4" s="1"/>
  <c r="N23" i="4"/>
  <c r="P23" i="4" s="1"/>
  <c r="L69" i="4"/>
  <c r="N51" i="4"/>
  <c r="P51" i="4" s="1"/>
  <c r="L39" i="4"/>
  <c r="K35" i="4"/>
  <c r="L35" i="4" s="1"/>
  <c r="N25" i="4"/>
  <c r="S25" i="4" s="1"/>
  <c r="L10" i="4"/>
  <c r="K43" i="4"/>
  <c r="L43" i="4" s="1"/>
  <c r="L25" i="4"/>
  <c r="L15" i="4"/>
  <c r="L36" i="4"/>
  <c r="L24" i="4"/>
  <c r="N66" i="4"/>
  <c r="P66" i="4" s="1"/>
  <c r="L62" i="4"/>
  <c r="K55" i="4"/>
  <c r="L55" i="4" s="1"/>
  <c r="N38" i="4"/>
  <c r="P38" i="4" s="1"/>
  <c r="L34" i="4"/>
  <c r="N22" i="4"/>
  <c r="P22" i="4" s="1"/>
  <c r="V9" i="4"/>
  <c r="K16" i="5" s="1"/>
  <c r="N48" i="4"/>
  <c r="P48" i="4" s="1"/>
  <c r="L30" i="4"/>
  <c r="L53" i="4"/>
  <c r="N64" i="4"/>
  <c r="P64" i="4" s="1"/>
  <c r="N60" i="4"/>
  <c r="P60" i="4" s="1"/>
  <c r="K51" i="4"/>
  <c r="L51" i="4" s="1"/>
  <c r="N46" i="4"/>
  <c r="P46" i="4" s="1"/>
  <c r="P40" i="4"/>
  <c r="K32" i="4"/>
  <c r="L32" i="4" s="1"/>
  <c r="K27" i="4"/>
  <c r="L27" i="4" s="1"/>
  <c r="N17" i="4"/>
  <c r="N15" i="4"/>
  <c r="P15" i="4" s="1"/>
  <c r="K66" i="4"/>
  <c r="L66" i="4" s="1"/>
  <c r="L64" i="4"/>
  <c r="K57" i="4"/>
  <c r="L57" i="4" s="1"/>
  <c r="K48" i="4"/>
  <c r="L48" i="4" s="1"/>
  <c r="K22" i="4"/>
  <c r="L22" i="4" s="1"/>
  <c r="N12" i="4"/>
  <c r="P12" i="4" s="1"/>
  <c r="K31" i="4"/>
  <c r="L31" i="4" s="1"/>
  <c r="K28" i="4"/>
  <c r="L28" i="4" s="1"/>
  <c r="N21" i="4"/>
  <c r="P21" i="4" s="1"/>
  <c r="N16" i="4"/>
  <c r="P16" i="4" s="1"/>
  <c r="N13" i="4"/>
  <c r="N65" i="4"/>
  <c r="P65" i="4" s="1"/>
  <c r="K61" i="4"/>
  <c r="L61" i="4" s="1"/>
  <c r="K58" i="4"/>
  <c r="L58" i="4" s="1"/>
  <c r="N56" i="4"/>
  <c r="P56" i="4" s="1"/>
  <c r="N53" i="4"/>
  <c r="P53" i="4" s="1"/>
  <c r="N47" i="4"/>
  <c r="N44" i="4"/>
  <c r="S44" i="4" s="1"/>
  <c r="K41" i="4"/>
  <c r="L41" i="4" s="1"/>
  <c r="N62" i="4"/>
  <c r="N59" i="4"/>
  <c r="P59" i="4" s="1"/>
  <c r="K38" i="4"/>
  <c r="L38" i="4" s="1"/>
  <c r="N24" i="4"/>
  <c r="P24" i="4" s="1"/>
  <c r="K56" i="4"/>
  <c r="L56" i="4" s="1"/>
  <c r="K44" i="4"/>
  <c r="L44" i="4" s="1"/>
  <c r="N42" i="4"/>
  <c r="P42" i="4" s="1"/>
  <c r="N39" i="4"/>
  <c r="S39" i="4" s="1"/>
  <c r="K21" i="4"/>
  <c r="L21" i="4" s="1"/>
  <c r="K16" i="4"/>
  <c r="L16" i="4" s="1"/>
  <c r="K13" i="4"/>
  <c r="L13" i="4" s="1"/>
  <c r="K9" i="4"/>
  <c r="K47" i="4"/>
  <c r="L47" i="4" s="1"/>
  <c r="K46" i="4"/>
  <c r="L46" i="4" s="1"/>
  <c r="K70" i="4"/>
  <c r="L70" i="4" s="1"/>
  <c r="K65" i="4"/>
  <c r="L65" i="4" s="1"/>
  <c r="N71" i="4"/>
  <c r="S71" i="4" s="1"/>
  <c r="K71" i="4"/>
  <c r="L71" i="4" s="1"/>
  <c r="P200" i="4"/>
  <c r="N54" i="4"/>
  <c r="P54" i="4" s="1"/>
  <c r="P29" i="4"/>
  <c r="P11" i="4"/>
  <c r="P19" i="4"/>
  <c r="N20" i="4"/>
  <c r="P20" i="4" s="1"/>
  <c r="N18" i="4"/>
  <c r="S18" i="4" s="1"/>
  <c r="P26" i="4"/>
  <c r="N50" i="4"/>
  <c r="P50" i="4" s="1"/>
  <c r="N49" i="4"/>
  <c r="P49" i="4" s="1"/>
  <c r="N33" i="4"/>
  <c r="P33" i="4" s="1"/>
  <c r="N30" i="4"/>
  <c r="P30" i="4" s="1"/>
  <c r="N36" i="4"/>
  <c r="P36" i="4" s="1"/>
  <c r="N34" i="4"/>
  <c r="P34" i="4" s="1"/>
  <c r="N69" i="4"/>
  <c r="P69" i="4" s="1"/>
  <c r="N68" i="4"/>
  <c r="P68" i="4" s="1"/>
  <c r="N67" i="4"/>
  <c r="P67" i="4" s="1"/>
  <c r="N10" i="4"/>
  <c r="S10" i="4" s="1"/>
  <c r="P45" i="4"/>
  <c r="Q25" i="5"/>
  <c r="J25" i="5"/>
  <c r="I25" i="5"/>
  <c r="O201" i="4"/>
  <c r="U25" i="5"/>
  <c r="M25" i="5"/>
  <c r="P25" i="5" s="1"/>
  <c r="S25" i="5"/>
  <c r="R25" i="5"/>
  <c r="S38" i="4" l="1"/>
  <c r="S37" i="4" s="1"/>
  <c r="S36" i="4" s="1"/>
  <c r="S35" i="4" s="1"/>
  <c r="S34" i="4" s="1"/>
  <c r="S33" i="4" s="1"/>
  <c r="S32" i="4" s="1"/>
  <c r="S31" i="4" s="1"/>
  <c r="S30" i="4" s="1"/>
  <c r="T29" i="4" s="1"/>
  <c r="S43" i="4"/>
  <c r="S42" i="4" s="1"/>
  <c r="S41" i="4" s="1"/>
  <c r="T40" i="4" s="1"/>
  <c r="S70" i="4"/>
  <c r="S69" i="4" s="1"/>
  <c r="S68" i="4" s="1"/>
  <c r="S67" i="4" s="1"/>
  <c r="S66" i="4" s="1"/>
  <c r="S65" i="4" s="1"/>
  <c r="S64" i="4" s="1"/>
  <c r="U61" i="4"/>
  <c r="U60" i="4" s="1"/>
  <c r="U59" i="4" s="1"/>
  <c r="U58" i="4" s="1"/>
  <c r="U57" i="4" s="1"/>
  <c r="U56" i="4" s="1"/>
  <c r="U55" i="4" s="1"/>
  <c r="U54" i="4" s="1"/>
  <c r="U53" i="4" s="1"/>
  <c r="U52" i="4" s="1"/>
  <c r="U51" i="4" s="1"/>
  <c r="U50" i="4" s="1"/>
  <c r="U49" i="4" s="1"/>
  <c r="V61" i="4"/>
  <c r="V14" i="4"/>
  <c r="U14" i="4"/>
  <c r="U13" i="4" s="1"/>
  <c r="U12" i="4" s="1"/>
  <c r="V11" i="4" s="1"/>
  <c r="K17" i="5" s="1"/>
  <c r="I17" i="5" s="1"/>
  <c r="P28" i="4"/>
  <c r="P17" i="4"/>
  <c r="N201" i="4"/>
  <c r="L201" i="4" s="1"/>
  <c r="S17" i="4"/>
  <c r="S16" i="4" s="1"/>
  <c r="S15" i="4" s="1"/>
  <c r="S24" i="4"/>
  <c r="S23" i="4" s="1"/>
  <c r="S22" i="4" s="1"/>
  <c r="S21" i="4" s="1"/>
  <c r="S20" i="4" s="1"/>
  <c r="T19" i="4" s="1"/>
  <c r="S27" i="4"/>
  <c r="T26" i="4" s="1"/>
  <c r="M20" i="5" s="1"/>
  <c r="P20" i="5" s="1"/>
  <c r="P18" i="4"/>
  <c r="P10" i="4"/>
  <c r="T9" i="4"/>
  <c r="M16" i="5" s="1"/>
  <c r="P16" i="5" s="1"/>
  <c r="Q16" i="5" s="1"/>
  <c r="P62" i="4"/>
  <c r="P47" i="4"/>
  <c r="P39" i="4"/>
  <c r="P25" i="4"/>
  <c r="P13" i="4"/>
  <c r="P44" i="4"/>
  <c r="S205" i="4"/>
  <c r="A201" i="4" s="1"/>
  <c r="P71" i="4"/>
  <c r="K20" i="5"/>
  <c r="I20" i="5" s="1"/>
  <c r="I16" i="5"/>
  <c r="V48" i="4" l="1"/>
  <c r="U48" i="4"/>
  <c r="U47" i="4" s="1"/>
  <c r="U46" i="4" s="1"/>
  <c r="V45" i="4" s="1"/>
  <c r="T63" i="4"/>
  <c r="S63" i="4"/>
  <c r="S62" i="4" s="1"/>
  <c r="T48" i="4"/>
  <c r="T14" i="4"/>
  <c r="S14" i="4"/>
  <c r="S13" i="4" s="1"/>
  <c r="S12" i="4" s="1"/>
  <c r="T11" i="4" s="1"/>
  <c r="M17" i="5" s="1"/>
  <c r="P17" i="5" s="1"/>
  <c r="Q17" i="5" s="1"/>
  <c r="P201" i="4"/>
  <c r="Q20" i="5"/>
  <c r="J16" i="5"/>
  <c r="U16" i="5" s="1"/>
  <c r="J20" i="5"/>
  <c r="U20" i="5" s="1"/>
  <c r="R16" i="5"/>
  <c r="S17" i="5" s="1"/>
  <c r="K22" i="5"/>
  <c r="T61" i="4" l="1"/>
  <c r="S61" i="4"/>
  <c r="S60" i="4" s="1"/>
  <c r="S59" i="4" s="1"/>
  <c r="S58" i="4" s="1"/>
  <c r="S57" i="4" s="1"/>
  <c r="S56" i="4" s="1"/>
  <c r="S55" i="4" s="1"/>
  <c r="S54" i="4" s="1"/>
  <c r="S53" i="4" s="1"/>
  <c r="S52" i="4" s="1"/>
  <c r="S51" i="4" s="1"/>
  <c r="S50" i="4" s="1"/>
  <c r="S49" i="4" s="1"/>
  <c r="S48" i="4" s="1"/>
  <c r="S47" i="4" s="1"/>
  <c r="S46" i="4" s="1"/>
  <c r="T45" i="4" s="1"/>
  <c r="J17" i="5"/>
  <c r="U17" i="5" s="1"/>
  <c r="R17" i="5"/>
  <c r="S18" i="5" s="1"/>
  <c r="I22" i="5"/>
  <c r="M18" i="5"/>
  <c r="M22" i="5"/>
  <c r="P22" i="5" s="1"/>
  <c r="Q22" i="5" s="1"/>
  <c r="K19" i="5"/>
  <c r="K18" i="5"/>
  <c r="J22" i="5" l="1"/>
  <c r="U22" i="5" s="1"/>
  <c r="I19" i="5"/>
  <c r="P18" i="5"/>
  <c r="Q18" i="5" s="1"/>
  <c r="J18" i="5"/>
  <c r="I18" i="5"/>
  <c r="R18" i="5" s="1"/>
  <c r="S19" i="5" s="1"/>
  <c r="M19" i="5"/>
  <c r="P19" i="5" s="1"/>
  <c r="Q19" i="5" s="1"/>
  <c r="K21" i="5"/>
  <c r="R19" i="5" l="1"/>
  <c r="S20" i="5" s="1"/>
  <c r="R20" i="5" s="1"/>
  <c r="I21" i="5"/>
  <c r="J19" i="5"/>
  <c r="U19" i="5" s="1"/>
  <c r="M24" i="5"/>
  <c r="P24" i="5" s="1"/>
  <c r="U18" i="5" l="1"/>
  <c r="S21" i="5"/>
  <c r="K24" i="5" l="1"/>
  <c r="Q24" i="5" s="1"/>
  <c r="J24" i="5" l="1"/>
  <c r="U24" i="5" s="1"/>
  <c r="I24" i="5"/>
  <c r="M21" i="5"/>
  <c r="P21" i="5" l="1"/>
  <c r="Q21" i="5" s="1"/>
  <c r="J21" i="5"/>
  <c r="U21" i="5" s="1"/>
  <c r="R21" i="5"/>
  <c r="S22" i="5" s="1"/>
  <c r="R22" i="5" s="1"/>
  <c r="S23" i="5" s="1"/>
  <c r="T201" i="4" l="1"/>
  <c r="S29" i="5" s="1"/>
  <c r="M23" i="5"/>
  <c r="V201" i="4" l="1"/>
  <c r="K23" i="5"/>
  <c r="P23" i="5"/>
  <c r="M26" i="5"/>
  <c r="P29" i="5" l="1"/>
  <c r="Q23" i="5"/>
  <c r="M29" i="5"/>
  <c r="M27" i="5"/>
  <c r="M28" i="5"/>
  <c r="O203" i="4"/>
  <c r="O205" i="4" s="1"/>
  <c r="I31" i="5" s="1"/>
  <c r="T29" i="5"/>
  <c r="I23" i="5"/>
  <c r="J23" i="5"/>
  <c r="U23" i="5" s="1"/>
  <c r="R29" i="5"/>
  <c r="I26" i="5" l="1"/>
  <c r="R23" i="5"/>
  <c r="S24" i="5" s="1"/>
  <c r="R24" i="5" s="1"/>
  <c r="I29" i="5" l="1"/>
  <c r="H201" i="4"/>
  <c r="I28" i="5"/>
  <c r="I27" i="5"/>
  <c r="O26" i="5"/>
</calcChain>
</file>

<file path=xl/sharedStrings.xml><?xml version="1.0" encoding="utf-8"?>
<sst xmlns="http://schemas.openxmlformats.org/spreadsheetml/2006/main" count="828" uniqueCount="234">
  <si>
    <t xml:space="preserve">Para a emissão da presente medição, foram analisadas as especificações técnicas dos projetos, dos procedimentos licitatórios e dos serviços realizados </t>
  </si>
  <si>
    <t>de acordo com as normas técnicas da ABNT.</t>
  </si>
  <si>
    <r>
      <t xml:space="preserve">ACUMULADO ATÉ A MEDIÇÃO </t>
    </r>
    <r>
      <rPr>
        <b/>
        <sz val="10"/>
        <rFont val="Arial"/>
        <family val="2"/>
      </rPr>
      <t>ANTERIOR</t>
    </r>
  </si>
  <si>
    <r>
      <t xml:space="preserve">PARCIAL </t>
    </r>
    <r>
      <rPr>
        <b/>
        <sz val="10"/>
        <rFont val="Arial"/>
        <family val="2"/>
      </rPr>
      <t>DESTA</t>
    </r>
    <r>
      <rPr>
        <sz val="10"/>
        <rFont val="Arial"/>
        <family val="2"/>
      </rPr>
      <t xml:space="preserve"> MEDIÇÃO</t>
    </r>
  </si>
  <si>
    <t>(R$)</t>
  </si>
  <si>
    <t>(%)</t>
  </si>
  <si>
    <r>
      <t xml:space="preserve">ATÉ </t>
    </r>
    <r>
      <rPr>
        <b/>
        <sz val="10"/>
        <rFont val="Arial"/>
        <family val="2"/>
      </rPr>
      <t>ESTA</t>
    </r>
  </si>
  <si>
    <t>ORDEM DE SERVIÇO N.º :</t>
  </si>
  <si>
    <t>DATA :</t>
  </si>
  <si>
    <t>un</t>
  </si>
  <si>
    <t>SINALIZAÇÃO DE TRÂNSITO</t>
  </si>
  <si>
    <t>m2</t>
  </si>
  <si>
    <t>m3</t>
  </si>
  <si>
    <t>m</t>
  </si>
  <si>
    <t>gb</t>
  </si>
  <si>
    <t>REGIONAL</t>
  </si>
  <si>
    <t>ASSOCIAÇÃO</t>
  </si>
  <si>
    <t>PARCELA</t>
  </si>
  <si>
    <t>CONTRATO EMPREITADA:</t>
  </si>
  <si>
    <t>ORDEM DE SERVIÇO:</t>
  </si>
  <si>
    <t>DATA:</t>
  </si>
  <si>
    <t>DRENAGEM</t>
  </si>
  <si>
    <t>x</t>
  </si>
  <si>
    <t>ACUMULADO</t>
  </si>
  <si>
    <t>Acumulado</t>
  </si>
  <si>
    <t>Med. Anterior</t>
  </si>
  <si>
    <t>BASE / SUB-BASE</t>
  </si>
  <si>
    <t>TERRAPLENAGEM</t>
  </si>
  <si>
    <t>CÓDIGO</t>
  </si>
  <si>
    <t>SERVIÇOS PRELIMINARES</t>
  </si>
  <si>
    <t>Parcial</t>
  </si>
  <si>
    <t>Desta</t>
  </si>
  <si>
    <t>Medição</t>
  </si>
  <si>
    <t>VALORES ACUMULADOS</t>
  </si>
  <si>
    <t>Contratado</t>
  </si>
  <si>
    <t>VALOR</t>
  </si>
  <si>
    <t>CÓD.</t>
  </si>
  <si>
    <t>MEIO-FIO E SARJETA</t>
  </si>
  <si>
    <t>REVESTIMENTO</t>
  </si>
  <si>
    <t>SAM</t>
  </si>
  <si>
    <t>Lote</t>
  </si>
  <si>
    <t>VALOR TOTAL CONTRATADO</t>
  </si>
  <si>
    <t>LOTE</t>
  </si>
  <si>
    <r>
      <t>MEDIÇÃO Nº</t>
    </r>
    <r>
      <rPr>
        <b/>
        <sz val="10"/>
        <rFont val="Arial"/>
        <family val="2"/>
      </rPr>
      <t>:</t>
    </r>
  </si>
  <si>
    <t>ESTADO DO PARANÁ</t>
  </si>
  <si>
    <t>Mês</t>
  </si>
  <si>
    <t>Ano</t>
  </si>
  <si>
    <t>MUNICÍPIO:</t>
  </si>
  <si>
    <t>SUBPROJETO:</t>
  </si>
  <si>
    <t>Nº</t>
  </si>
  <si>
    <t>DATA</t>
  </si>
  <si>
    <t>arredondar</t>
  </si>
  <si>
    <t>FIRMA EMPREITERA:</t>
  </si>
  <si>
    <t>Coef.Infl.</t>
  </si>
  <si>
    <t>MEDIÇÃO   DOS   SERVIÇOS</t>
  </si>
  <si>
    <t>ORÇAMENTO</t>
  </si>
  <si>
    <t>valores</t>
  </si>
  <si>
    <t>CONTROLE</t>
  </si>
  <si>
    <t>cima
baixo</t>
  </si>
  <si>
    <t xml:space="preserve">Nº 
</t>
  </si>
  <si>
    <t>DISCRIMINAÇÃO  DO  SERVIÇOS</t>
  </si>
  <si>
    <t>Unid</t>
  </si>
  <si>
    <t>Quantid.
Licitada</t>
  </si>
  <si>
    <t>%   Exe-   
cutada</t>
  </si>
  <si>
    <t>Coef. De
Influên.</t>
  </si>
  <si>
    <t>%
Total</t>
  </si>
  <si>
    <t>Custo
Unitário</t>
  </si>
  <si>
    <t>Valor
Medido</t>
  </si>
  <si>
    <t>Total
Contrato</t>
  </si>
  <si>
    <t>Saldo
Contrato</t>
  </si>
  <si>
    <t>Ítem - Medição
Acumulada</t>
  </si>
  <si>
    <t>Sub - Totais
Medição</t>
  </si>
  <si>
    <t>Ítem-Contrato
Acumulado</t>
  </si>
  <si>
    <t>Sub - Totais
Contratuais</t>
  </si>
  <si>
    <t>Quantid.
Executada</t>
  </si>
  <si>
    <t>%
Executada</t>
  </si>
  <si>
    <t xml:space="preserve"> % PREVISTO :</t>
  </si>
  <si>
    <t>% EXECUTADO :</t>
  </si>
  <si>
    <t>SOMAS</t>
  </si>
  <si>
    <t xml:space="preserve">    OBSERVAÇÕES :</t>
  </si>
  <si>
    <t>Valor Total do Contrato:</t>
  </si>
  <si>
    <t>Medição Acumulada:</t>
  </si>
  <si>
    <t>Total Anterior:</t>
  </si>
  <si>
    <t>Coef</t>
  </si>
  <si>
    <t>Valor Desta Medição:</t>
  </si>
  <si>
    <t>Total</t>
  </si>
  <si>
    <t>RESPONSÁVEIS PELAS INFORMAÇÕES ( Assinaturas/ Carimbos ):</t>
  </si>
  <si>
    <t>MUNICÍPIO</t>
  </si>
  <si>
    <t>:</t>
  </si>
  <si>
    <t>CONVÊNIO</t>
  </si>
  <si>
    <t>EMPRESA VENCEDORA</t>
  </si>
  <si>
    <t>CONTRATO EMPREITADA Nº</t>
  </si>
  <si>
    <t>PARA</t>
  </si>
  <si>
    <t>Crítica</t>
  </si>
  <si>
    <t xml:space="preserve">PREVISTO </t>
  </si>
  <si>
    <t>%</t>
  </si>
  <si>
    <t>TOTAL (R$ )</t>
  </si>
  <si>
    <t>PAGAR</t>
  </si>
  <si>
    <t>Cronograma</t>
  </si>
  <si>
    <t>ÍTEM</t>
  </si>
  <si>
    <t>CRONOGRAMA</t>
  </si>
  <si>
    <t>% MÊS</t>
  </si>
  <si>
    <t>(R$ )MÊS</t>
  </si>
  <si>
    <t>MEDIDA</t>
  </si>
  <si>
    <t>CONTRATO</t>
  </si>
  <si>
    <t>MEDIÇÃO</t>
  </si>
  <si>
    <t>DIGITE : OK</t>
  </si>
  <si>
    <t>"adiantado"</t>
  </si>
  <si>
    <t>TOTAL CRONOGRAMA</t>
  </si>
  <si>
    <t>TOTAL MEDIÇÃO</t>
  </si>
  <si>
    <t>Medido</t>
  </si>
  <si>
    <t>Pagar</t>
  </si>
  <si>
    <t>PLANILHA DE MEDIÇÃO DOS SERVIÇOS</t>
  </si>
  <si>
    <t>ok</t>
  </si>
  <si>
    <t>ton</t>
  </si>
  <si>
    <t>Importa a presente medição no valor total de R$</t>
  </si>
  <si>
    <r>
      <t xml:space="preserve">DATA DA MEDIÇÃO </t>
    </r>
    <r>
      <rPr>
        <b/>
        <sz val="10"/>
        <rFont val="Arial"/>
        <family val="2"/>
      </rPr>
      <t>:</t>
    </r>
  </si>
  <si>
    <r>
      <t xml:space="preserve">PROJETO </t>
    </r>
    <r>
      <rPr>
        <b/>
        <sz val="10"/>
        <rFont val="Arial"/>
        <family val="2"/>
      </rPr>
      <t>:</t>
    </r>
  </si>
  <si>
    <r>
      <t xml:space="preserve">C.P.M. ( </t>
    </r>
    <r>
      <rPr>
        <b/>
        <sz val="10"/>
        <rFont val="Arial"/>
        <family val="2"/>
      </rPr>
      <t>%</t>
    </r>
    <r>
      <rPr>
        <sz val="10"/>
        <rFont val="Arial"/>
        <family val="2"/>
      </rPr>
      <t xml:space="preserve"> )</t>
    </r>
  </si>
  <si>
    <r>
      <t xml:space="preserve">F. Perdido ( </t>
    </r>
    <r>
      <rPr>
        <b/>
        <sz val="10"/>
        <rFont val="Arial"/>
        <family val="2"/>
      </rPr>
      <t>%</t>
    </r>
    <r>
      <rPr>
        <sz val="10"/>
        <rFont val="Arial"/>
        <family val="2"/>
      </rPr>
      <t xml:space="preserve"> )</t>
    </r>
  </si>
  <si>
    <r>
      <t xml:space="preserve">F.D.U.  ( </t>
    </r>
    <r>
      <rPr>
        <b/>
        <sz val="10"/>
        <rFont val="Arial"/>
        <family val="2"/>
      </rPr>
      <t>%</t>
    </r>
    <r>
      <rPr>
        <sz val="10"/>
        <rFont val="Arial"/>
        <family val="2"/>
      </rPr>
      <t xml:space="preserve"> )</t>
    </r>
  </si>
  <si>
    <t>COMPOSIÇÃO</t>
  </si>
  <si>
    <t>560100A</t>
  </si>
  <si>
    <t>589420A</t>
  </si>
  <si>
    <t>589000I</t>
  </si>
  <si>
    <t>810250B</t>
  </si>
  <si>
    <t>A</t>
  </si>
  <si>
    <t>561100A</t>
  </si>
  <si>
    <t>589420C</t>
  </si>
  <si>
    <t>589000N</t>
  </si>
  <si>
    <t>605000A</t>
  </si>
  <si>
    <t>820000E</t>
  </si>
  <si>
    <t>820000G</t>
  </si>
  <si>
    <t>820000H</t>
  </si>
  <si>
    <t>610400a</t>
  </si>
  <si>
    <t>610600a</t>
  </si>
  <si>
    <t>610400c</t>
  </si>
  <si>
    <t>610600d</t>
  </si>
  <si>
    <t>BLSM120</t>
  </si>
  <si>
    <t>BLDM120</t>
  </si>
  <si>
    <t>CLM040</t>
  </si>
  <si>
    <t>CLM060</t>
  </si>
  <si>
    <t>PVMH80</t>
  </si>
  <si>
    <t>PVMH100</t>
  </si>
  <si>
    <t>DISSIPM</t>
  </si>
  <si>
    <t/>
  </si>
  <si>
    <t>8.1</t>
  </si>
  <si>
    <t>5.1</t>
  </si>
  <si>
    <t>7.4</t>
  </si>
  <si>
    <t>74022/53</t>
  </si>
  <si>
    <t>74022/56</t>
  </si>
  <si>
    <t>7.1</t>
  </si>
  <si>
    <t>3.20</t>
  </si>
  <si>
    <t>PLACA DE OBRA TIPO BANNER, 4,00 X 2,00 M, EM QUADRO DE METALON 20 X 20 MM E LONA 360 G, COM IMPRESSÃO DIGITAL, FIXADA EM ESTRUTURA DE MADEIRA.</t>
  </si>
  <si>
    <t>Compactação de Aterros 95% P.N.</t>
  </si>
  <si>
    <t>Escavação, Carga e Transp. de jazida 1ª Cat.</t>
  </si>
  <si>
    <t>Refôrço do Subleito c/ mat. de 2ª Cat (saibro-moledo-cascalho)</t>
  </si>
  <si>
    <t>Regularização compac.subleito 100% PN</t>
  </si>
  <si>
    <t>Brita 4A</t>
  </si>
  <si>
    <t>Brita Graduada</t>
  </si>
  <si>
    <t>Imprimação com Emulsão EAI - exclusive emulsão</t>
  </si>
  <si>
    <t>Fornecimento de emulsão EAI - imprimação</t>
  </si>
  <si>
    <t>Pintura de ligação com RR-1C - exclusive emulsão</t>
  </si>
  <si>
    <t>Fornecimento de emulsão RR-1C - pintura de ligaçãp</t>
  </si>
  <si>
    <t>CBUQ - CAPA Traço 2 (Quantidade menor que 10000 toneladas) / FAIXA C</t>
  </si>
  <si>
    <t>Fornecimento de CAP - CBUQ (Quantidade menor que 10000 toneladas)</t>
  </si>
  <si>
    <t>Meio-Fio com Sarjeta DER - Tipo 2 - (0,042 m3) - Pré-Moldado</t>
  </si>
  <si>
    <t>Meio-Fio com Sarjeta DER - Tipo 7 - (0,031 m3) - Pré-Moldado</t>
  </si>
  <si>
    <t>SERVIÇOS DE URBANIZAÇÃO</t>
  </si>
  <si>
    <t>Fincadinha de concreto - (5x22,5x45cm-0,01125m3/m)</t>
  </si>
  <si>
    <t>Regularização e Compactação SAF- 100% PI - Passeio com Pavimento</t>
  </si>
  <si>
    <t>Brita 4A - passeio</t>
  </si>
  <si>
    <t>Brita Graduada - Passeio</t>
  </si>
  <si>
    <t>Fornecimento de emulsão RR-1C - pintura de ligação</t>
  </si>
  <si>
    <t>CBUQ - PASSEIO  (Quantidade menor que 10000 toneladas) / FAIXA D</t>
  </si>
  <si>
    <t>Plantio de Grama em placas</t>
  </si>
  <si>
    <t>Rampa para PNE com Piso Tátil (NBR 9050) - Modelo 02 - 5,94 m2</t>
  </si>
  <si>
    <t xml:space="preserve">Faixa de Sinalização Horizontal c/tinta resina acrílica base solvente- (0,034 m2/m2) </t>
  </si>
  <si>
    <t>Placa sinalização refletiva-círculo (0,1964 m2/ud) + suporte METÁLICO</t>
  </si>
  <si>
    <t>Placa sinalização refletiva-octógono (0,2160 m2/ud) + suporte METÁLICO</t>
  </si>
  <si>
    <t>Placa sinalização refletiva-retangular dupla (duas de-0,20x060) em L (0,2400 m2/ud) + suporte METÁLICO</t>
  </si>
  <si>
    <t>Escavação de Bueiros em 1ª Categoria</t>
  </si>
  <si>
    <t>Reaterro e apiloamento mecânico</t>
  </si>
  <si>
    <t>Boca (Ala) de BSTC ø 0,40 m</t>
  </si>
  <si>
    <t>Boca (Ala) de BSTC ø 0,60 m</t>
  </si>
  <si>
    <t>Corpo de BSTC ø 0,40 sem Berço e sem Armação</t>
  </si>
  <si>
    <t>Corpo de BSTC ø 0,60 sem Berço e sem Armação</t>
  </si>
  <si>
    <t>Corpo de BSTC ø 0,40 Sem Berço c/ Armação Símples CA-1</t>
  </si>
  <si>
    <t>Corpo de BSTC ø 0,60 Sem Berço c/ Armação Símples CA-1</t>
  </si>
  <si>
    <t>B.L. Símples pré-moldado H até 1,20 m</t>
  </si>
  <si>
    <t>B.L. Dupla Pré-moldado H até 1,20 m</t>
  </si>
  <si>
    <t>C.L. pré-moldado Tubo até 0,40</t>
  </si>
  <si>
    <t>C.L. pré-moldado Tubo até 0,60</t>
  </si>
  <si>
    <t>P.V. Pré-moldado H até 0,80 m Tubo até 0,40 + chaminé 1,00 m</t>
  </si>
  <si>
    <t>P.V. Pré-moldado H até 1,00 m Tubo até 0,60 + chaminé 1,00 m</t>
  </si>
  <si>
    <t>Dissipador de Energia c/Pedra de Mão tubo ø 0, 40</t>
  </si>
  <si>
    <t>Dissipador de Energia c/Pedra de Mão tubo ø 0, 60</t>
  </si>
  <si>
    <t>Reaterro e apiloamento mecânico com saibro compactado</t>
  </si>
  <si>
    <t>ENSAIOS TECNOLÓGICOS
(Os custos com mobilização e desmobilização de equipe e equipamentos para a extração de amostras para os ensaios tecnológicos, exceto da capa asfáltica, serão de responsabilidade da empresa executora da obra.)</t>
  </si>
  <si>
    <t xml:space="preserve">Ensaio de Massa Específica - In Situ - Método Frasco de Areia (Grau de Compactação) - Reforço do Subleito </t>
  </si>
  <si>
    <t>Ensaio de Massa Específica - In Situ - Método Frasco de Areia (Grau de Compactação) - Sub-base e Base</t>
  </si>
  <si>
    <t>Ensaio de Granulometria do Agregado</t>
  </si>
  <si>
    <t>Ensaio de Percentagem de Betume - Misturas Betuminosas</t>
  </si>
  <si>
    <t>Ensaio de Controle do Grau de Compactação da Mistura Asfáltica</t>
  </si>
  <si>
    <t>Ensaio de Densidade do Material Betuminoso</t>
  </si>
  <si>
    <t>Extração de corpo de prova de concreto asfáltico com sonda rotativa</t>
  </si>
  <si>
    <t>Mobilização e desmobilização de equipamento e equipe para extração de corpos de prova da capa asfáltica.</t>
  </si>
  <si>
    <t xml:space="preserve">     </t>
  </si>
  <si>
    <t>MANDIRITUBA</t>
  </si>
  <si>
    <t>PAVIMENTAÇÃO DE VIAS URBANAS</t>
  </si>
  <si>
    <t>01</t>
  </si>
  <si>
    <t>CURITIBA</t>
  </si>
  <si>
    <t>ASSOMEC</t>
  </si>
  <si>
    <t>BAIXO</t>
  </si>
  <si>
    <t>RUA GERALDO CLAUDINO</t>
  </si>
  <si>
    <t>RUA WILSON SELUSNIAK</t>
  </si>
  <si>
    <t>Prefeito Municipal
Luis Antonio Biscaia</t>
  </si>
  <si>
    <t>cima</t>
  </si>
  <si>
    <t>177/2022</t>
  </si>
  <si>
    <t>COPATER CONSTRUTORA DE OBRAS LTDA</t>
  </si>
  <si>
    <t>5291/2022</t>
  </si>
  <si>
    <t>Prefeitura Municipal de Mandirituba
Engº. Carlos Eduardo de Andrade                                     CREA: 178.633/D-PR</t>
  </si>
  <si>
    <t>Copater Construtora de Obras Ltda
Eng. Marcos Roberto Kokot                 CREA: 68.812/D-PR</t>
  </si>
  <si>
    <t>e pelo (a) Prefeito Municipal ou seu/sua representante legal.</t>
  </si>
  <si>
    <r>
      <t>ATESTO</t>
    </r>
    <r>
      <rPr>
        <sz val="10"/>
        <rFont val="Arial"/>
        <family val="2"/>
      </rPr>
      <t xml:space="preserve"> - para os devidos fins, que foram recebidos os bens e/ou serviços do presente documento, referente ao objeto da licitação nº 005/2021,</t>
    </r>
  </si>
  <si>
    <t>que vai assinado por mim Engenheiro Fiscal da Obra; pelo engenheiro fiscal da empresa executora</t>
  </si>
  <si>
    <t>MEDIÇÃO 1</t>
  </si>
  <si>
    <t>MEDIÇÃO 2</t>
  </si>
  <si>
    <t>MEDIÇÃO 3</t>
  </si>
  <si>
    <t>MEDIÇÃO 4</t>
  </si>
  <si>
    <t>MEDIÇÃO 5</t>
  </si>
  <si>
    <t>3</t>
  </si>
  <si>
    <t>QUATROCENTOS E NOVENTA E QUA-</t>
  </si>
  <si>
    <t>TRO MIL E CENTO E SESSENTA E SETE REAIS E QUARENTA E SEIS CENTAVOS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</si>
</sst>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&quot;R$&quot;#,##0.00_);\(&quot;R$&quot;#,##0.00\)"/>
    <numFmt numFmtId="166" formatCode="&quot;R$&quot;#,##0.00_);[Red]\(&quot;R$&quot;#,##0.00\)"/>
    <numFmt numFmtId="167" formatCode="0.0000"/>
    <numFmt numFmtId="168" formatCode="d/m/yy"/>
  </numFmts>
  <fonts count="18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Desdemona"/>
      <family val="5"/>
    </font>
    <font>
      <b/>
      <sz val="9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444">
    <xf numFmtId="0" fontId="0" fillId="0" borderId="0" xfId="0"/>
    <xf numFmtId="1" fontId="4" fillId="3" borderId="18" xfId="0" applyNumberFormat="1" applyFont="1" applyFill="1" applyBorder="1" applyAlignment="1" applyProtection="1">
      <alignment horizontal="left"/>
      <protection locked="0"/>
    </xf>
    <xf numFmtId="0" fontId="0" fillId="2" borderId="21" xfId="0" applyFill="1" applyBorder="1" applyAlignment="1" applyProtection="1">
      <alignment vertical="center"/>
      <protection locked="0"/>
    </xf>
    <xf numFmtId="0" fontId="7" fillId="2" borderId="22" xfId="0" applyFont="1" applyFill="1" applyBorder="1"/>
    <xf numFmtId="0" fontId="5" fillId="2" borderId="23" xfId="0" applyFont="1" applyFill="1" applyBorder="1" applyAlignment="1">
      <alignment horizontal="centerContinuous" vertical="center"/>
    </xf>
    <xf numFmtId="0" fontId="5" fillId="2" borderId="22" xfId="0" applyFont="1" applyFill="1" applyBorder="1" applyAlignment="1">
      <alignment horizontal="centerContinuous" vertical="center"/>
    </xf>
    <xf numFmtId="0" fontId="6" fillId="2" borderId="22" xfId="0" applyFont="1" applyFill="1" applyBorder="1" applyAlignment="1">
      <alignment horizontal="centerContinuous" vertical="center"/>
    </xf>
    <xf numFmtId="0" fontId="6" fillId="2" borderId="24" xfId="0" applyFont="1" applyFill="1" applyBorder="1" applyAlignment="1">
      <alignment horizontal="centerContinuous" vertical="center"/>
    </xf>
    <xf numFmtId="0" fontId="6" fillId="2" borderId="0" xfId="0" applyFont="1" applyFill="1" applyAlignment="1">
      <alignment horizontal="left" vertical="center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0" fillId="2" borderId="25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2" borderId="26" xfId="0" applyFill="1" applyBorder="1" applyProtection="1">
      <protection locked="0"/>
    </xf>
    <xf numFmtId="0" fontId="0" fillId="2" borderId="0" xfId="0" applyFill="1" applyProtection="1">
      <protection locked="0"/>
    </xf>
    <xf numFmtId="0" fontId="7" fillId="2" borderId="27" xfId="0" applyFont="1" applyFill="1" applyBorder="1" applyAlignment="1">
      <alignment vertical="top"/>
    </xf>
    <xf numFmtId="14" fontId="7" fillId="2" borderId="0" xfId="0" applyNumberFormat="1" applyFont="1" applyFill="1" applyAlignment="1">
      <alignment horizontal="left" vertical="center"/>
    </xf>
    <xf numFmtId="0" fontId="0" fillId="2" borderId="0" xfId="0" applyFill="1" applyAlignment="1" applyProtection="1">
      <alignment horizontal="left"/>
      <protection locked="0"/>
    </xf>
    <xf numFmtId="0" fontId="0" fillId="2" borderId="25" xfId="0" applyFill="1" applyBorder="1" applyProtection="1">
      <protection locked="0"/>
    </xf>
    <xf numFmtId="0" fontId="0" fillId="0" borderId="0" xfId="0" applyProtection="1">
      <protection locked="0"/>
    </xf>
    <xf numFmtId="0" fontId="8" fillId="2" borderId="28" xfId="0" applyFont="1" applyFill="1" applyBorder="1" applyAlignment="1">
      <alignment horizontal="left" vertical="center"/>
    </xf>
    <xf numFmtId="0" fontId="8" fillId="2" borderId="29" xfId="0" applyFont="1" applyFill="1" applyBorder="1" applyAlignment="1">
      <alignment horizontal="left" vertical="center"/>
    </xf>
    <xf numFmtId="0" fontId="9" fillId="2" borderId="29" xfId="0" quotePrefix="1" applyFont="1" applyFill="1" applyBorder="1" applyAlignment="1">
      <alignment horizontal="left" vertical="center"/>
    </xf>
    <xf numFmtId="0" fontId="7" fillId="2" borderId="29" xfId="0" applyFont="1" applyFill="1" applyBorder="1" applyAlignment="1">
      <alignment vertical="center"/>
    </xf>
    <xf numFmtId="0" fontId="7" fillId="2" borderId="29" xfId="0" applyFont="1" applyFill="1" applyBorder="1"/>
    <xf numFmtId="0" fontId="3" fillId="2" borderId="30" xfId="0" applyFont="1" applyFill="1" applyBorder="1" applyAlignment="1">
      <alignment horizontal="center" vertical="center"/>
    </xf>
    <xf numFmtId="1" fontId="7" fillId="3" borderId="31" xfId="0" applyNumberFormat="1" applyFont="1" applyFill="1" applyBorder="1" applyAlignment="1" applyProtection="1">
      <alignment horizontal="center" vertical="center"/>
      <protection locked="0"/>
    </xf>
    <xf numFmtId="0" fontId="3" fillId="2" borderId="30" xfId="0" applyFont="1" applyFill="1" applyBorder="1" applyAlignment="1">
      <alignment horizontal="centerContinuous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6" fillId="2" borderId="32" xfId="0" quotePrefix="1" applyFont="1" applyFill="1" applyBorder="1" applyAlignment="1">
      <alignment horizontal="left"/>
    </xf>
    <xf numFmtId="0" fontId="6" fillId="2" borderId="27" xfId="0" quotePrefix="1" applyFont="1" applyFill="1" applyBorder="1" applyAlignment="1">
      <alignment horizontal="left"/>
    </xf>
    <xf numFmtId="0" fontId="10" fillId="3" borderId="27" xfId="0" applyFont="1" applyFill="1" applyBorder="1"/>
    <xf numFmtId="0" fontId="7" fillId="3" borderId="27" xfId="0" applyFont="1" applyFill="1" applyBorder="1"/>
    <xf numFmtId="0" fontId="3" fillId="2" borderId="34" xfId="0" applyFont="1" applyFill="1" applyBorder="1" applyAlignment="1">
      <alignment horizontal="centerContinuous"/>
    </xf>
    <xf numFmtId="0" fontId="3" fillId="2" borderId="35" xfId="0" applyFont="1" applyFill="1" applyBorder="1" applyAlignment="1">
      <alignment horizontal="centerContinuous"/>
    </xf>
    <xf numFmtId="49" fontId="7" fillId="2" borderId="36" xfId="0" applyNumberFormat="1" applyFont="1" applyFill="1" applyBorder="1" applyAlignment="1">
      <alignment horizontal="centerContinuous"/>
    </xf>
    <xf numFmtId="49" fontId="7" fillId="2" borderId="0" xfId="0" applyNumberFormat="1" applyFont="1" applyFill="1" applyAlignment="1">
      <alignment horizontal="left"/>
    </xf>
    <xf numFmtId="0" fontId="3" fillId="2" borderId="37" xfId="0" applyFont="1" applyFill="1" applyBorder="1" applyAlignment="1">
      <alignment horizontal="centerContinuous" vertical="center"/>
    </xf>
    <xf numFmtId="14" fontId="7" fillId="2" borderId="0" xfId="0" applyNumberFormat="1" applyFont="1" applyFill="1" applyAlignment="1" applyProtection="1">
      <alignment horizontal="left"/>
      <protection locked="0"/>
    </xf>
    <xf numFmtId="0" fontId="3" fillId="2" borderId="38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6" fillId="2" borderId="39" xfId="0" applyFont="1" applyFill="1" applyBorder="1" applyAlignment="1">
      <alignment horizontal="left"/>
    </xf>
    <xf numFmtId="0" fontId="6" fillId="2" borderId="40" xfId="0" applyFont="1" applyFill="1" applyBorder="1" applyAlignment="1">
      <alignment horizontal="left"/>
    </xf>
    <xf numFmtId="0" fontId="6" fillId="2" borderId="40" xfId="0" quotePrefix="1" applyFont="1" applyFill="1" applyBorder="1" applyAlignment="1">
      <alignment horizontal="left"/>
    </xf>
    <xf numFmtId="0" fontId="10" fillId="3" borderId="40" xfId="0" applyFont="1" applyFill="1" applyBorder="1"/>
    <xf numFmtId="0" fontId="7" fillId="3" borderId="40" xfId="0" applyFont="1" applyFill="1" applyBorder="1"/>
    <xf numFmtId="14" fontId="7" fillId="2" borderId="0" xfId="0" applyNumberFormat="1" applyFont="1" applyFill="1" applyAlignment="1">
      <alignment horizontal="left"/>
    </xf>
    <xf numFmtId="0" fontId="10" fillId="2" borderId="42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Continuous" vertical="center"/>
    </xf>
    <xf numFmtId="0" fontId="5" fillId="2" borderId="29" xfId="0" applyFont="1" applyFill="1" applyBorder="1" applyAlignment="1">
      <alignment horizontal="centerContinuous" vertical="center"/>
    </xf>
    <xf numFmtId="0" fontId="8" fillId="2" borderId="29" xfId="0" applyFont="1" applyFill="1" applyBorder="1" applyAlignment="1">
      <alignment horizontal="centerContinuous" vertical="center"/>
    </xf>
    <xf numFmtId="0" fontId="6" fillId="2" borderId="29" xfId="0" applyFont="1" applyFill="1" applyBorder="1" applyAlignment="1">
      <alignment horizontal="centerContinuous" vertical="center"/>
    </xf>
    <xf numFmtId="0" fontId="8" fillId="2" borderId="43" xfId="0" applyFont="1" applyFill="1" applyBorder="1" applyAlignment="1">
      <alignment horizontal="centerContinuous" vertical="center"/>
    </xf>
    <xf numFmtId="0" fontId="7" fillId="2" borderId="29" xfId="0" applyFont="1" applyFill="1" applyBorder="1" applyAlignment="1">
      <alignment horizontal="centerContinuous" vertical="center"/>
    </xf>
    <xf numFmtId="0" fontId="7" fillId="0" borderId="44" xfId="0" applyFont="1" applyBorder="1" applyAlignment="1">
      <alignment horizontal="centerContinuous"/>
    </xf>
    <xf numFmtId="0" fontId="7" fillId="2" borderId="0" xfId="0" applyFont="1" applyFill="1" applyAlignment="1">
      <alignment horizontal="left"/>
    </xf>
    <xf numFmtId="0" fontId="10" fillId="2" borderId="45" xfId="0" applyFont="1" applyFill="1" applyBorder="1" applyAlignment="1">
      <alignment horizontal="centerContinuous" vertical="center"/>
    </xf>
    <xf numFmtId="0" fontId="0" fillId="2" borderId="46" xfId="0" applyFill="1" applyBorder="1" applyAlignment="1">
      <alignment horizontal="centerContinuous"/>
    </xf>
    <xf numFmtId="0" fontId="10" fillId="2" borderId="17" xfId="0" applyFont="1" applyFill="1" applyBorder="1" applyAlignment="1">
      <alignment horizontal="centerContinuous" vertical="center"/>
    </xf>
    <xf numFmtId="0" fontId="3" fillId="2" borderId="38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Continuous" vertical="center"/>
    </xf>
    <xf numFmtId="0" fontId="3" fillId="2" borderId="29" xfId="0" applyFont="1" applyFill="1" applyBorder="1" applyAlignment="1">
      <alignment horizontal="centerContinuous" vertical="center"/>
    </xf>
    <xf numFmtId="0" fontId="3" fillId="2" borderId="49" xfId="0" applyFont="1" applyFill="1" applyBorder="1" applyAlignment="1">
      <alignment horizontal="centerContinuous" vertical="center"/>
    </xf>
    <xf numFmtId="0" fontId="3" fillId="2" borderId="50" xfId="0" applyFont="1" applyFill="1" applyBorder="1" applyAlignment="1">
      <alignment horizontal="center" vertical="center"/>
    </xf>
    <xf numFmtId="0" fontId="3" fillId="2" borderId="50" xfId="0" quotePrefix="1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0" fontId="6" fillId="2" borderId="50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10" fillId="2" borderId="42" xfId="0" applyFont="1" applyFill="1" applyBorder="1" applyAlignment="1">
      <alignment horizontal="left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0" fillId="2" borderId="5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1" fontId="1" fillId="3" borderId="38" xfId="0" applyNumberFormat="1" applyFont="1" applyFill="1" applyBorder="1" applyProtection="1">
      <protection locked="0"/>
    </xf>
    <xf numFmtId="2" fontId="1" fillId="3" borderId="18" xfId="0" applyNumberFormat="1" applyFont="1" applyFill="1" applyBorder="1" applyProtection="1">
      <protection locked="0"/>
    </xf>
    <xf numFmtId="2" fontId="1" fillId="2" borderId="0" xfId="0" applyNumberFormat="1" applyFont="1" applyFill="1" applyAlignment="1">
      <alignment horizontal="left"/>
    </xf>
    <xf numFmtId="0" fontId="1" fillId="3" borderId="42" xfId="0" applyFont="1" applyFill="1" applyBorder="1" applyProtection="1">
      <protection locked="0"/>
    </xf>
    <xf numFmtId="10" fontId="1" fillId="3" borderId="18" xfId="1" applyNumberFormat="1" applyFont="1" applyFill="1" applyBorder="1" applyProtection="1"/>
    <xf numFmtId="0" fontId="10" fillId="0" borderId="0" xfId="0" applyFont="1" applyProtection="1">
      <protection locked="0"/>
    </xf>
    <xf numFmtId="167" fontId="10" fillId="2" borderId="55" xfId="0" applyNumberFormat="1" applyFont="1" applyFill="1" applyBorder="1" applyProtection="1">
      <protection locked="0"/>
    </xf>
    <xf numFmtId="0" fontId="3" fillId="2" borderId="28" xfId="0" applyFont="1" applyFill="1" applyBorder="1"/>
    <xf numFmtId="0" fontId="3" fillId="2" borderId="29" xfId="0" applyFont="1" applyFill="1" applyBorder="1"/>
    <xf numFmtId="0" fontId="3" fillId="2" borderId="43" xfId="0" applyFont="1" applyFill="1" applyBorder="1" applyAlignment="1">
      <alignment horizontal="centerContinuous"/>
    </xf>
    <xf numFmtId="0" fontId="3" fillId="2" borderId="56" xfId="0" applyFont="1" applyFill="1" applyBorder="1" applyAlignment="1">
      <alignment horizontal="centerContinuous"/>
    </xf>
    <xf numFmtId="10" fontId="6" fillId="2" borderId="57" xfId="1" applyNumberFormat="1" applyFont="1" applyFill="1" applyBorder="1" applyAlignment="1" applyProtection="1">
      <alignment horizontal="centerContinuous"/>
    </xf>
    <xf numFmtId="0" fontId="0" fillId="0" borderId="58" xfId="0" applyBorder="1" applyAlignment="1" applyProtection="1">
      <alignment horizontal="centerContinuous"/>
      <protection locked="0"/>
    </xf>
    <xf numFmtId="0" fontId="3" fillId="2" borderId="48" xfId="0" applyFont="1" applyFill="1" applyBorder="1" applyAlignment="1">
      <alignment horizontal="centerContinuous"/>
    </xf>
    <xf numFmtId="0" fontId="3" fillId="2" borderId="29" xfId="0" applyFont="1" applyFill="1" applyBorder="1" applyAlignment="1">
      <alignment horizontal="centerContinuous"/>
    </xf>
    <xf numFmtId="10" fontId="10" fillId="0" borderId="50" xfId="0" applyNumberFormat="1" applyFont="1" applyBorder="1"/>
    <xf numFmtId="10" fontId="3" fillId="2" borderId="30" xfId="0" applyNumberFormat="1" applyFont="1" applyFill="1" applyBorder="1" applyAlignment="1">
      <alignment horizontal="center"/>
    </xf>
    <xf numFmtId="2" fontId="6" fillId="2" borderId="0" xfId="0" applyNumberFormat="1" applyFont="1" applyFill="1" applyAlignment="1">
      <alignment horizontal="left"/>
    </xf>
    <xf numFmtId="2" fontId="6" fillId="2" borderId="61" xfId="0" applyNumberFormat="1" applyFont="1" applyFill="1" applyBorder="1" applyAlignment="1">
      <alignment horizontal="center"/>
    </xf>
    <xf numFmtId="0" fontId="11" fillId="2" borderId="26" xfId="0" applyFont="1" applyFill="1" applyBorder="1"/>
    <xf numFmtId="0" fontId="11" fillId="2" borderId="0" xfId="0" applyFont="1" applyFill="1"/>
    <xf numFmtId="0" fontId="7" fillId="2" borderId="0" xfId="0" applyFont="1" applyFill="1"/>
    <xf numFmtId="0" fontId="3" fillId="3" borderId="62" xfId="0" applyFont="1" applyFill="1" applyBorder="1" applyProtection="1">
      <protection locked="0"/>
    </xf>
    <xf numFmtId="0" fontId="3" fillId="3" borderId="35" xfId="0" applyFont="1" applyFill="1" applyBorder="1" applyProtection="1">
      <protection locked="0"/>
    </xf>
    <xf numFmtId="0" fontId="4" fillId="3" borderId="35" xfId="0" applyFont="1" applyFill="1" applyBorder="1" applyProtection="1">
      <protection locked="0"/>
    </xf>
    <xf numFmtId="0" fontId="4" fillId="3" borderId="63" xfId="0" applyFont="1" applyFill="1" applyBorder="1" applyProtection="1">
      <protection locked="0"/>
    </xf>
    <xf numFmtId="0" fontId="3" fillId="2" borderId="64" xfId="0" applyFont="1" applyFill="1" applyBorder="1"/>
    <xf numFmtId="0" fontId="6" fillId="2" borderId="27" xfId="0" applyFont="1" applyFill="1" applyBorder="1"/>
    <xf numFmtId="0" fontId="1" fillId="2" borderId="65" xfId="0" applyFont="1" applyFill="1" applyBorder="1"/>
    <xf numFmtId="0" fontId="1" fillId="0" borderId="66" xfId="0" applyFont="1" applyBorder="1" applyProtection="1">
      <protection locked="0"/>
    </xf>
    <xf numFmtId="0" fontId="3" fillId="3" borderId="26" xfId="0" applyFont="1" applyFill="1" applyBorder="1" applyProtection="1">
      <protection locked="0"/>
    </xf>
    <xf numFmtId="0" fontId="3" fillId="3" borderId="0" xfId="0" applyFont="1" applyFill="1" applyProtection="1">
      <protection locked="0"/>
    </xf>
    <xf numFmtId="0" fontId="4" fillId="3" borderId="0" xfId="0" applyFont="1" applyFill="1" applyProtection="1">
      <protection locked="0"/>
    </xf>
    <xf numFmtId="0" fontId="4" fillId="3" borderId="25" xfId="0" applyFont="1" applyFill="1" applyBorder="1" applyProtection="1">
      <protection locked="0"/>
    </xf>
    <xf numFmtId="0" fontId="3" fillId="2" borderId="67" xfId="0" applyFont="1" applyFill="1" applyBorder="1"/>
    <xf numFmtId="0" fontId="7" fillId="2" borderId="68" xfId="0" applyFont="1" applyFill="1" applyBorder="1"/>
    <xf numFmtId="0" fontId="1" fillId="2" borderId="9" xfId="0" applyFont="1" applyFill="1" applyBorder="1"/>
    <xf numFmtId="0" fontId="0" fillId="0" borderId="5" xfId="0" applyBorder="1" applyProtection="1">
      <protection locked="0"/>
    </xf>
    <xf numFmtId="0" fontId="6" fillId="3" borderId="69" xfId="0" applyFont="1" applyFill="1" applyBorder="1" applyProtection="1">
      <protection locked="0"/>
    </xf>
    <xf numFmtId="0" fontId="6" fillId="3" borderId="70" xfId="0" applyFont="1" applyFill="1" applyBorder="1" applyProtection="1">
      <protection locked="0"/>
    </xf>
    <xf numFmtId="0" fontId="4" fillId="3" borderId="70" xfId="0" applyFont="1" applyFill="1" applyBorder="1" applyProtection="1">
      <protection locked="0"/>
    </xf>
    <xf numFmtId="0" fontId="3" fillId="3" borderId="70" xfId="0" applyFont="1" applyFill="1" applyBorder="1" applyProtection="1">
      <protection locked="0"/>
    </xf>
    <xf numFmtId="0" fontId="4" fillId="3" borderId="71" xfId="0" applyFont="1" applyFill="1" applyBorder="1" applyProtection="1">
      <protection locked="0"/>
    </xf>
    <xf numFmtId="0" fontId="6" fillId="2" borderId="68" xfId="0" applyFont="1" applyFill="1" applyBorder="1"/>
    <xf numFmtId="0" fontId="10" fillId="2" borderId="72" xfId="0" applyFont="1" applyFill="1" applyBorder="1" applyAlignment="1">
      <alignment horizontal="center"/>
    </xf>
    <xf numFmtId="0" fontId="1" fillId="2" borderId="73" xfId="0" applyFont="1" applyFill="1" applyBorder="1"/>
    <xf numFmtId="0" fontId="3" fillId="3" borderId="74" xfId="0" applyFont="1" applyFill="1" applyBorder="1" applyProtection="1">
      <protection locked="0"/>
    </xf>
    <xf numFmtId="0" fontId="3" fillId="3" borderId="75" xfId="0" applyFont="1" applyFill="1" applyBorder="1" applyProtection="1">
      <protection locked="0"/>
    </xf>
    <xf numFmtId="0" fontId="4" fillId="3" borderId="75" xfId="0" applyFont="1" applyFill="1" applyBorder="1" applyProtection="1">
      <protection locked="0"/>
    </xf>
    <xf numFmtId="0" fontId="4" fillId="3" borderId="76" xfId="0" applyFont="1" applyFill="1" applyBorder="1" applyProtection="1">
      <protection locked="0"/>
    </xf>
    <xf numFmtId="0" fontId="3" fillId="2" borderId="77" xfId="0" applyFont="1" applyFill="1" applyBorder="1"/>
    <xf numFmtId="0" fontId="6" fillId="2" borderId="78" xfId="0" applyFont="1" applyFill="1" applyBorder="1"/>
    <xf numFmtId="2" fontId="10" fillId="2" borderId="72" xfId="0" applyNumberFormat="1" applyFont="1" applyFill="1" applyBorder="1" applyAlignment="1">
      <alignment horizontal="center"/>
    </xf>
    <xf numFmtId="167" fontId="10" fillId="2" borderId="73" xfId="0" applyNumberFormat="1" applyFont="1" applyFill="1" applyBorder="1" applyAlignment="1">
      <alignment horizontal="center"/>
    </xf>
    <xf numFmtId="0" fontId="3" fillId="2" borderId="79" xfId="0" applyFont="1" applyFill="1" applyBorder="1"/>
    <xf numFmtId="0" fontId="3" fillId="2" borderId="80" xfId="0" applyFont="1" applyFill="1" applyBorder="1"/>
    <xf numFmtId="0" fontId="7" fillId="2" borderId="80" xfId="0" applyFont="1" applyFill="1" applyBorder="1"/>
    <xf numFmtId="0" fontId="7" fillId="2" borderId="81" xfId="0" applyFont="1" applyFill="1" applyBorder="1"/>
    <xf numFmtId="0" fontId="6" fillId="2" borderId="82" xfId="0" applyFont="1" applyFill="1" applyBorder="1"/>
    <xf numFmtId="0" fontId="6" fillId="2" borderId="0" xfId="0" applyFont="1" applyFill="1" applyAlignment="1">
      <alignment horizontal="left"/>
    </xf>
    <xf numFmtId="15" fontId="7" fillId="2" borderId="83" xfId="0" applyNumberFormat="1" applyFont="1" applyFill="1" applyBorder="1" applyAlignment="1">
      <alignment horizontal="center"/>
    </xf>
    <xf numFmtId="15" fontId="7" fillId="2" borderId="0" xfId="0" applyNumberFormat="1" applyFont="1" applyFill="1" applyAlignment="1">
      <alignment horizontal="left"/>
    </xf>
    <xf numFmtId="0" fontId="6" fillId="2" borderId="5" xfId="0" applyFont="1" applyFill="1" applyBorder="1" applyAlignment="1">
      <alignment horizontal="right"/>
    </xf>
    <xf numFmtId="0" fontId="1" fillId="0" borderId="5" xfId="0" applyFont="1" applyBorder="1" applyProtection="1">
      <protection locked="0"/>
    </xf>
    <xf numFmtId="0" fontId="10" fillId="2" borderId="84" xfId="0" applyFont="1" applyFill="1" applyBorder="1"/>
    <xf numFmtId="0" fontId="10" fillId="2" borderId="85" xfId="0" applyFont="1" applyFill="1" applyBorder="1"/>
    <xf numFmtId="0" fontId="1" fillId="2" borderId="85" xfId="0" applyFont="1" applyFill="1" applyBorder="1"/>
    <xf numFmtId="0" fontId="12" fillId="2" borderId="83" xfId="0" applyFont="1" applyFill="1" applyBorder="1"/>
    <xf numFmtId="0" fontId="12" fillId="2" borderId="0" xfId="0" applyFont="1" applyFill="1"/>
    <xf numFmtId="0" fontId="1" fillId="2" borderId="12" xfId="0" applyFont="1" applyFill="1" applyBorder="1"/>
    <xf numFmtId="0" fontId="1" fillId="2" borderId="13" xfId="0" applyFont="1" applyFill="1" applyBorder="1"/>
    <xf numFmtId="0" fontId="12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8" fillId="2" borderId="21" xfId="0" applyFont="1" applyFill="1" applyBorder="1"/>
    <xf numFmtId="0" fontId="10" fillId="2" borderId="22" xfId="0" applyFont="1" applyFill="1" applyBorder="1"/>
    <xf numFmtId="0" fontId="0" fillId="2" borderId="22" xfId="0" applyFill="1" applyBorder="1"/>
    <xf numFmtId="0" fontId="0" fillId="2" borderId="24" xfId="0" applyFill="1" applyBorder="1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2" borderId="26" xfId="0" applyFill="1" applyBorder="1"/>
    <xf numFmtId="0" fontId="0" fillId="2" borderId="0" xfId="0" applyFill="1" applyAlignment="1">
      <alignment horizontal="left"/>
    </xf>
    <xf numFmtId="0" fontId="0" fillId="2" borderId="86" xfId="0" applyFill="1" applyBorder="1"/>
    <xf numFmtId="0" fontId="0" fillId="2" borderId="26" xfId="0" applyFill="1" applyBorder="1" applyAlignment="1">
      <alignment horizontal="left"/>
    </xf>
    <xf numFmtId="0" fontId="10" fillId="2" borderId="0" xfId="0" applyFont="1" applyFill="1" applyAlignment="1">
      <alignment horizontal="left"/>
    </xf>
    <xf numFmtId="0" fontId="13" fillId="2" borderId="0" xfId="0" applyFont="1" applyFill="1" applyAlignment="1">
      <alignment horizontal="left"/>
    </xf>
    <xf numFmtId="49" fontId="10" fillId="2" borderId="86" xfId="0" applyNumberFormat="1" applyFont="1" applyFill="1" applyBorder="1"/>
    <xf numFmtId="49" fontId="10" fillId="2" borderId="0" xfId="0" applyNumberFormat="1" applyFont="1" applyFill="1" applyAlignment="1">
      <alignment horizontal="left"/>
    </xf>
    <xf numFmtId="0" fontId="0" fillId="2" borderId="0" xfId="0" applyFill="1" applyAlignment="1">
      <alignment horizontal="centerContinuous"/>
    </xf>
    <xf numFmtId="0" fontId="10" fillId="2" borderId="0" xfId="0" applyFont="1" applyFill="1"/>
    <xf numFmtId="15" fontId="10" fillId="2" borderId="0" xfId="0" applyNumberFormat="1" applyFont="1" applyFill="1" applyAlignment="1">
      <alignment horizontal="center"/>
    </xf>
    <xf numFmtId="165" fontId="10" fillId="2" borderId="0" xfId="0" applyNumberFormat="1" applyFont="1" applyFill="1" applyAlignment="1">
      <alignment horizontal="centerContinuous"/>
    </xf>
    <xf numFmtId="0" fontId="10" fillId="2" borderId="29" xfId="0" applyFont="1" applyFill="1" applyBorder="1" applyAlignment="1">
      <alignment horizontal="centerContinuous" vertical="center" wrapText="1"/>
    </xf>
    <xf numFmtId="0" fontId="0" fillId="0" borderId="87" xfId="0" applyBorder="1" applyAlignment="1">
      <alignment horizontal="center"/>
    </xf>
    <xf numFmtId="0" fontId="0" fillId="0" borderId="88" xfId="0" applyBorder="1" applyAlignment="1">
      <alignment horizontal="center"/>
    </xf>
    <xf numFmtId="0" fontId="0" fillId="2" borderId="1" xfId="0" applyFill="1" applyBorder="1"/>
    <xf numFmtId="0" fontId="0" fillId="2" borderId="3" xfId="0" applyFill="1" applyBorder="1"/>
    <xf numFmtId="0" fontId="0" fillId="2" borderId="7" xfId="0" applyFill="1" applyBorder="1"/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9" xfId="0" applyFill="1" applyBorder="1" applyAlignment="1">
      <alignment horizontal="center"/>
    </xf>
    <xf numFmtId="0" fontId="10" fillId="2" borderId="90" xfId="0" applyFont="1" applyFill="1" applyBorder="1" applyAlignment="1">
      <alignment horizontal="center" vertical="top"/>
    </xf>
    <xf numFmtId="0" fontId="10" fillId="2" borderId="91" xfId="0" applyFont="1" applyFill="1" applyBorder="1" applyAlignment="1">
      <alignment horizontal="centerContinuous" vertical="top" wrapText="1"/>
    </xf>
    <xf numFmtId="0" fontId="10" fillId="2" borderId="92" xfId="0" applyFont="1" applyFill="1" applyBorder="1" applyAlignment="1">
      <alignment horizontal="centerContinuous" vertical="top"/>
    </xf>
    <xf numFmtId="0" fontId="10" fillId="2" borderId="85" xfId="0" applyFont="1" applyFill="1" applyBorder="1" applyAlignment="1">
      <alignment horizontal="centerContinuous" vertical="top"/>
    </xf>
    <xf numFmtId="0" fontId="10" fillId="2" borderId="85" xfId="0" applyFont="1" applyFill="1" applyBorder="1" applyAlignment="1">
      <alignment horizontal="centerContinuous" vertical="top" wrapText="1"/>
    </xf>
    <xf numFmtId="0" fontId="10" fillId="2" borderId="93" xfId="0" applyFont="1" applyFill="1" applyBorder="1" applyAlignment="1">
      <alignment horizontal="centerContinuous" vertical="top" wrapText="1"/>
    </xf>
    <xf numFmtId="0" fontId="10" fillId="0" borderId="15" xfId="0" applyFont="1" applyBorder="1" applyAlignment="1">
      <alignment horizontal="center" wrapText="1"/>
    </xf>
    <xf numFmtId="0" fontId="10" fillId="2" borderId="91" xfId="0" applyFont="1" applyFill="1" applyBorder="1" applyAlignment="1">
      <alignment horizontal="center" vertical="center" wrapText="1"/>
    </xf>
    <xf numFmtId="0" fontId="10" fillId="2" borderId="92" xfId="0" applyFont="1" applyFill="1" applyBorder="1" applyAlignment="1">
      <alignment horizontal="centerContinuous"/>
    </xf>
    <xf numFmtId="0" fontId="10" fillId="2" borderId="93" xfId="0" applyFont="1" applyFill="1" applyBorder="1" applyAlignment="1">
      <alignment horizontal="centerContinuous"/>
    </xf>
    <xf numFmtId="0" fontId="10" fillId="2" borderId="0" xfId="0" applyFont="1" applyFill="1" applyAlignment="1">
      <alignment horizontal="center" vertical="center" wrapText="1"/>
    </xf>
    <xf numFmtId="0" fontId="0" fillId="0" borderId="94" xfId="0" applyBorder="1" applyAlignment="1">
      <alignment horizontal="center"/>
    </xf>
    <xf numFmtId="1" fontId="0" fillId="3" borderId="55" xfId="0" applyNumberFormat="1" applyFill="1" applyBorder="1" applyAlignment="1">
      <alignment horizontal="center"/>
    </xf>
    <xf numFmtId="0" fontId="0" fillId="2" borderId="9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68" xfId="0" applyFill="1" applyBorder="1" applyAlignment="1">
      <alignment horizontal="centerContinuous"/>
    </xf>
    <xf numFmtId="0" fontId="0" fillId="2" borderId="68" xfId="0" applyFill="1" applyBorder="1" applyAlignment="1">
      <alignment horizontal="left"/>
    </xf>
    <xf numFmtId="10" fontId="1" fillId="3" borderId="9" xfId="1" applyNumberFormat="1" applyFill="1" applyBorder="1" applyProtection="1">
      <protection locked="0"/>
    </xf>
    <xf numFmtId="164" fontId="1" fillId="2" borderId="9" xfId="2" applyFill="1" applyBorder="1" applyProtection="1"/>
    <xf numFmtId="10" fontId="1" fillId="2" borderId="9" xfId="1" applyNumberFormat="1" applyFill="1" applyBorder="1" applyProtection="1"/>
    <xf numFmtId="164" fontId="1" fillId="2" borderId="8" xfId="2" applyFill="1" applyBorder="1" applyAlignment="1" applyProtection="1">
      <alignment horizontal="centerContinuous"/>
    </xf>
    <xf numFmtId="2" fontId="0" fillId="2" borderId="95" xfId="0" applyNumberFormat="1" applyFill="1" applyBorder="1" applyAlignment="1">
      <alignment horizontal="centerContinuous"/>
    </xf>
    <xf numFmtId="164" fontId="1" fillId="2" borderId="96" xfId="2" applyFill="1" applyBorder="1" applyProtection="1"/>
    <xf numFmtId="165" fontId="0" fillId="2" borderId="0" xfId="0" applyNumberFormat="1" applyFill="1"/>
    <xf numFmtId="2" fontId="1" fillId="2" borderId="68" xfId="1" applyNumberFormat="1" applyFill="1" applyBorder="1" applyProtection="1"/>
    <xf numFmtId="0" fontId="0" fillId="2" borderId="21" xfId="0" applyFill="1" applyBorder="1"/>
    <xf numFmtId="165" fontId="0" fillId="2" borderId="97" xfId="0" applyNumberFormat="1" applyFill="1" applyBorder="1" applyAlignment="1">
      <alignment horizontal="centerContinuous"/>
    </xf>
    <xf numFmtId="0" fontId="0" fillId="0" borderId="98" xfId="0" applyBorder="1" applyAlignment="1">
      <alignment horizontal="centerContinuous"/>
    </xf>
    <xf numFmtId="10" fontId="0" fillId="2" borderId="20" xfId="0" applyNumberFormat="1" applyFill="1" applyBorder="1" applyAlignment="1">
      <alignment horizontal="centerContinuous"/>
    </xf>
    <xf numFmtId="164" fontId="1" fillId="2" borderId="99" xfId="2" applyFill="1" applyBorder="1" applyProtection="1"/>
    <xf numFmtId="165" fontId="0" fillId="2" borderId="100" xfId="0" applyNumberFormat="1" applyFill="1" applyBorder="1" applyAlignment="1">
      <alignment horizontal="centerContinuous"/>
    </xf>
    <xf numFmtId="0" fontId="0" fillId="2" borderId="19" xfId="0" applyFill="1" applyBorder="1" applyAlignment="1">
      <alignment horizontal="centerContinuous"/>
    </xf>
    <xf numFmtId="165" fontId="0" fillId="2" borderId="101" xfId="0" applyNumberFormat="1" applyFill="1" applyBorder="1"/>
    <xf numFmtId="0" fontId="0" fillId="0" borderId="95" xfId="0" applyBorder="1"/>
    <xf numFmtId="10" fontId="0" fillId="2" borderId="10" xfId="0" applyNumberFormat="1" applyFill="1" applyBorder="1"/>
    <xf numFmtId="165" fontId="0" fillId="2" borderId="102" xfId="0" applyNumberFormat="1" applyFill="1" applyBorder="1"/>
    <xf numFmtId="0" fontId="0" fillId="0" borderId="9" xfId="0" applyBorder="1"/>
    <xf numFmtId="10" fontId="0" fillId="3" borderId="10" xfId="0" applyNumberFormat="1" applyFill="1" applyBorder="1" applyProtection="1">
      <protection locked="0"/>
    </xf>
    <xf numFmtId="10" fontId="0" fillId="2" borderId="9" xfId="0" applyNumberFormat="1" applyFill="1" applyBorder="1"/>
    <xf numFmtId="164" fontId="1" fillId="2" borderId="103" xfId="2" applyFill="1" applyBorder="1" applyProtection="1"/>
    <xf numFmtId="165" fontId="0" fillId="2" borderId="67" xfId="0" applyNumberFormat="1" applyFill="1" applyBorder="1"/>
    <xf numFmtId="10" fontId="0" fillId="3" borderId="9" xfId="0" applyNumberFormat="1" applyFill="1" applyBorder="1" applyProtection="1">
      <protection locked="0"/>
    </xf>
    <xf numFmtId="2" fontId="1" fillId="2" borderId="0" xfId="1" applyNumberFormat="1" applyFill="1" applyBorder="1" applyProtection="1"/>
    <xf numFmtId="165" fontId="0" fillId="2" borderId="86" xfId="0" applyNumberFormat="1" applyFill="1" applyBorder="1"/>
    <xf numFmtId="165" fontId="0" fillId="0" borderId="0" xfId="0" applyNumberFormat="1"/>
    <xf numFmtId="0" fontId="14" fillId="2" borderId="22" xfId="0" applyFont="1" applyFill="1" applyBorder="1"/>
    <xf numFmtId="2" fontId="1" fillId="3" borderId="104" xfId="1" applyNumberFormat="1" applyFont="1" applyFill="1" applyBorder="1" applyAlignment="1" applyProtection="1">
      <alignment horizontal="centerContinuous"/>
    </xf>
    <xf numFmtId="0" fontId="0" fillId="2" borderId="0" xfId="0" applyFill="1" applyAlignment="1">
      <alignment horizontal="right"/>
    </xf>
    <xf numFmtId="2" fontId="1" fillId="2" borderId="85" xfId="1" applyNumberFormat="1" applyFill="1" applyBorder="1" applyProtection="1"/>
    <xf numFmtId="165" fontId="0" fillId="2" borderId="83" xfId="0" applyNumberFormat="1" applyFill="1" applyBorder="1"/>
    <xf numFmtId="2" fontId="1" fillId="0" borderId="0" xfId="1" applyNumberFormat="1" applyProtection="1">
      <protection locked="0"/>
    </xf>
    <xf numFmtId="165" fontId="0" fillId="0" borderId="0" xfId="0" applyNumberFormat="1" applyProtection="1">
      <protection locked="0"/>
    </xf>
    <xf numFmtId="165" fontId="0" fillId="2" borderId="0" xfId="0" applyNumberFormat="1" applyFill="1" applyProtection="1">
      <protection locked="0"/>
    </xf>
    <xf numFmtId="1" fontId="4" fillId="3" borderId="107" xfId="0" applyNumberFormat="1" applyFont="1" applyFill="1" applyBorder="1" applyProtection="1">
      <protection locked="0"/>
    </xf>
    <xf numFmtId="0" fontId="4" fillId="3" borderId="70" xfId="0" applyFont="1" applyFill="1" applyBorder="1"/>
    <xf numFmtId="2" fontId="4" fillId="3" borderId="18" xfId="0" applyNumberFormat="1" applyFont="1" applyFill="1" applyBorder="1" applyProtection="1">
      <protection locked="0"/>
    </xf>
    <xf numFmtId="10" fontId="4" fillId="3" borderId="18" xfId="1" applyNumberFormat="1" applyFont="1" applyFill="1" applyBorder="1" applyProtection="1">
      <protection locked="0"/>
    </xf>
    <xf numFmtId="167" fontId="4" fillId="0" borderId="18" xfId="0" applyNumberFormat="1" applyFont="1" applyBorder="1"/>
    <xf numFmtId="10" fontId="4" fillId="0" borderId="18" xfId="0" applyNumberFormat="1" applyFont="1" applyBorder="1"/>
    <xf numFmtId="2" fontId="4" fillId="3" borderId="108" xfId="0" applyNumberFormat="1" applyFont="1" applyFill="1" applyBorder="1" applyProtection="1">
      <protection locked="0"/>
    </xf>
    <xf numFmtId="2" fontId="4" fillId="0" borderId="18" xfId="0" applyNumberFormat="1" applyFont="1" applyBorder="1"/>
    <xf numFmtId="2" fontId="4" fillId="0" borderId="109" xfId="0" applyNumberFormat="1" applyFont="1" applyBorder="1"/>
    <xf numFmtId="1" fontId="4" fillId="3" borderId="110" xfId="0" applyNumberFormat="1" applyFont="1" applyFill="1" applyBorder="1" applyProtection="1">
      <protection locked="0"/>
    </xf>
    <xf numFmtId="1" fontId="4" fillId="3" borderId="111" xfId="0" applyNumberFormat="1" applyFont="1" applyFill="1" applyBorder="1" applyProtection="1">
      <protection locked="0"/>
    </xf>
    <xf numFmtId="0" fontId="4" fillId="3" borderId="112" xfId="0" applyFont="1" applyFill="1" applyBorder="1"/>
    <xf numFmtId="2" fontId="4" fillId="3" borderId="113" xfId="0" applyNumberFormat="1" applyFont="1" applyFill="1" applyBorder="1" applyProtection="1">
      <protection locked="0"/>
    </xf>
    <xf numFmtId="10" fontId="4" fillId="3" borderId="113" xfId="1" applyNumberFormat="1" applyFont="1" applyFill="1" applyBorder="1" applyProtection="1">
      <protection locked="0"/>
    </xf>
    <xf numFmtId="0" fontId="4" fillId="2" borderId="115" xfId="0" applyFont="1" applyFill="1" applyBorder="1" applyAlignment="1">
      <alignment horizontal="centerContinuous"/>
    </xf>
    <xf numFmtId="0" fontId="4" fillId="2" borderId="116" xfId="0" applyFont="1" applyFill="1" applyBorder="1" applyAlignment="1">
      <alignment horizontal="centerContinuous"/>
    </xf>
    <xf numFmtId="166" fontId="6" fillId="2" borderId="118" xfId="0" applyNumberFormat="1" applyFont="1" applyFill="1" applyBorder="1" applyAlignment="1">
      <alignment horizontal="centerContinuous"/>
    </xf>
    <xf numFmtId="165" fontId="4" fillId="2" borderId="18" xfId="0" applyNumberFormat="1" applyFont="1" applyFill="1" applyBorder="1" applyProtection="1">
      <protection hidden="1"/>
    </xf>
    <xf numFmtId="165" fontId="4" fillId="2" borderId="18" xfId="0" applyNumberFormat="1" applyFont="1" applyFill="1" applyBorder="1"/>
    <xf numFmtId="165" fontId="4" fillId="2" borderId="50" xfId="0" applyNumberFormat="1" applyFont="1" applyFill="1" applyBorder="1" applyAlignment="1">
      <alignment horizontal="center"/>
    </xf>
    <xf numFmtId="165" fontId="4" fillId="0" borderId="50" xfId="0" applyNumberFormat="1" applyFont="1" applyBorder="1" applyAlignment="1">
      <alignment horizontal="center"/>
    </xf>
    <xf numFmtId="165" fontId="4" fillId="0" borderId="31" xfId="0" applyNumberFormat="1" applyFont="1" applyBorder="1" applyAlignment="1">
      <alignment horizontal="center"/>
    </xf>
    <xf numFmtId="49" fontId="4" fillId="3" borderId="18" xfId="0" applyNumberFormat="1" applyFont="1" applyFill="1" applyBorder="1" applyAlignment="1" applyProtection="1">
      <alignment horizontal="left"/>
      <protection locked="0"/>
    </xf>
    <xf numFmtId="49" fontId="4" fillId="3" borderId="119" xfId="0" applyNumberFormat="1" applyFont="1" applyFill="1" applyBorder="1" applyProtection="1">
      <protection locked="0"/>
    </xf>
    <xf numFmtId="1" fontId="15" fillId="2" borderId="0" xfId="0" applyNumberFormat="1" applyFont="1" applyFill="1"/>
    <xf numFmtId="0" fontId="0" fillId="2" borderId="120" xfId="0" applyFill="1" applyBorder="1" applyAlignment="1">
      <alignment horizontal="center"/>
    </xf>
    <xf numFmtId="2" fontId="10" fillId="3" borderId="121" xfId="0" applyNumberFormat="1" applyFont="1" applyFill="1" applyBorder="1" applyAlignment="1" applyProtection="1">
      <alignment horizontal="center"/>
      <protection locked="0"/>
    </xf>
    <xf numFmtId="2" fontId="10" fillId="3" borderId="55" xfId="0" applyNumberFormat="1" applyFont="1" applyFill="1" applyBorder="1" applyAlignment="1" applyProtection="1">
      <alignment horizontal="center"/>
      <protection locked="0"/>
    </xf>
    <xf numFmtId="2" fontId="10" fillId="3" borderId="55" xfId="0" applyNumberFormat="1" applyFont="1" applyFill="1" applyBorder="1" applyAlignment="1" applyProtection="1">
      <alignment horizontal="centerContinuous"/>
      <protection locked="0"/>
    </xf>
    <xf numFmtId="0" fontId="10" fillId="2" borderId="122" xfId="0" applyFont="1" applyFill="1" applyBorder="1" applyAlignment="1">
      <alignment horizontal="center"/>
    </xf>
    <xf numFmtId="164" fontId="1" fillId="2" borderId="123" xfId="2" applyFill="1" applyBorder="1" applyAlignment="1" applyProtection="1">
      <alignment horizontal="center"/>
    </xf>
    <xf numFmtId="164" fontId="1" fillId="2" borderId="124" xfId="2" applyFill="1" applyBorder="1" applyAlignment="1" applyProtection="1">
      <alignment horizontal="center"/>
    </xf>
    <xf numFmtId="164" fontId="1" fillId="2" borderId="125" xfId="2" applyFill="1" applyBorder="1" applyAlignment="1" applyProtection="1">
      <alignment horizontal="center"/>
    </xf>
    <xf numFmtId="164" fontId="6" fillId="2" borderId="84" xfId="2" applyFont="1" applyFill="1" applyBorder="1" applyAlignment="1" applyProtection="1">
      <alignment horizontal="centerContinuous"/>
    </xf>
    <xf numFmtId="164" fontId="1" fillId="2" borderId="85" xfId="2" applyFill="1" applyBorder="1" applyAlignment="1" applyProtection="1">
      <alignment horizontal="centerContinuous"/>
    </xf>
    <xf numFmtId="164" fontId="1" fillId="2" borderId="121" xfId="2" applyFill="1" applyBorder="1" applyAlignment="1" applyProtection="1">
      <alignment horizontal="center"/>
    </xf>
    <xf numFmtId="164" fontId="1" fillId="2" borderId="126" xfId="2" applyFill="1" applyBorder="1" applyAlignment="1" applyProtection="1">
      <alignment horizontal="center"/>
    </xf>
    <xf numFmtId="164" fontId="6" fillId="2" borderId="117" xfId="0" applyNumberFormat="1" applyFont="1" applyFill="1" applyBorder="1" applyAlignment="1">
      <alignment horizontal="centerContinuous"/>
    </xf>
    <xf numFmtId="0" fontId="0" fillId="0" borderId="29" xfId="0" applyBorder="1" applyAlignment="1">
      <alignment horizontal="centerContinuous"/>
    </xf>
    <xf numFmtId="0" fontId="0" fillId="0" borderId="127" xfId="0" applyBorder="1" applyAlignment="1">
      <alignment horizontal="centerContinuous"/>
    </xf>
    <xf numFmtId="0" fontId="0" fillId="2" borderId="2" xfId="0" applyFill="1" applyBorder="1"/>
    <xf numFmtId="0" fontId="10" fillId="2" borderId="12" xfId="0" applyFont="1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Continuous"/>
    </xf>
    <xf numFmtId="0" fontId="0" fillId="2" borderId="25" xfId="0" applyFill="1" applyBorder="1" applyAlignment="1">
      <alignment horizontal="centerContinuous"/>
    </xf>
    <xf numFmtId="0" fontId="10" fillId="0" borderId="128" xfId="0" applyFont="1" applyBorder="1" applyAlignment="1">
      <alignment horizontal="center" wrapText="1"/>
    </xf>
    <xf numFmtId="0" fontId="6" fillId="2" borderId="0" xfId="0" applyFont="1" applyFill="1" applyAlignment="1">
      <alignment horizontal="centerContinuous"/>
    </xf>
    <xf numFmtId="0" fontId="6" fillId="2" borderId="25" xfId="0" applyFont="1" applyFill="1" applyBorder="1" applyAlignment="1">
      <alignment horizontal="centerContinuous"/>
    </xf>
    <xf numFmtId="0" fontId="6" fillId="2" borderId="5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Continuous"/>
    </xf>
    <xf numFmtId="164" fontId="1" fillId="2" borderId="8" xfId="2" applyFill="1" applyBorder="1" applyProtection="1"/>
    <xf numFmtId="164" fontId="1" fillId="2" borderId="19" xfId="2" applyFill="1" applyBorder="1" applyProtection="1"/>
    <xf numFmtId="10" fontId="1" fillId="2" borderId="9" xfId="1" applyNumberFormat="1" applyFill="1" applyBorder="1" applyAlignment="1" applyProtection="1">
      <alignment horizontal="center"/>
    </xf>
    <xf numFmtId="164" fontId="1" fillId="2" borderId="97" xfId="2" applyFill="1" applyBorder="1" applyAlignment="1" applyProtection="1">
      <alignment horizontal="centerContinuous"/>
    </xf>
    <xf numFmtId="164" fontId="1" fillId="2" borderId="129" xfId="2" applyFill="1" applyBorder="1" applyAlignment="1" applyProtection="1">
      <alignment horizontal="centerContinuous"/>
    </xf>
    <xf numFmtId="164" fontId="1" fillId="2" borderId="101" xfId="2" applyFill="1" applyBorder="1" applyAlignment="1" applyProtection="1">
      <alignment horizontal="centerContinuous"/>
    </xf>
    <xf numFmtId="164" fontId="1" fillId="2" borderId="115" xfId="2" applyFill="1" applyBorder="1" applyAlignment="1" applyProtection="1">
      <alignment horizontal="centerContinuous"/>
    </xf>
    <xf numFmtId="164" fontId="1" fillId="2" borderId="130" xfId="2" applyFill="1" applyBorder="1" applyAlignment="1" applyProtection="1">
      <alignment horizontal="centerContinuous"/>
    </xf>
    <xf numFmtId="164" fontId="1" fillId="2" borderId="131" xfId="2" applyFill="1" applyBorder="1" applyAlignment="1" applyProtection="1">
      <alignment horizontal="centerContinuous"/>
    </xf>
    <xf numFmtId="165" fontId="10" fillId="2" borderId="0" xfId="0" applyNumberFormat="1" applyFont="1" applyFill="1" applyAlignment="1">
      <alignment horizontal="center"/>
    </xf>
    <xf numFmtId="14" fontId="7" fillId="3" borderId="60" xfId="0" applyNumberFormat="1" applyFont="1" applyFill="1" applyBorder="1" applyAlignment="1">
      <alignment horizontal="centerContinuous" vertical="center"/>
    </xf>
    <xf numFmtId="49" fontId="7" fillId="3" borderId="31" xfId="0" applyNumberFormat="1" applyFont="1" applyFill="1" applyBorder="1" applyAlignment="1" applyProtection="1">
      <alignment horizontal="center" vertical="center"/>
      <protection locked="0"/>
    </xf>
    <xf numFmtId="2" fontId="3" fillId="2" borderId="132" xfId="0" applyNumberFormat="1" applyFont="1" applyFill="1" applyBorder="1" applyAlignment="1">
      <alignment horizontal="centerContinuous"/>
    </xf>
    <xf numFmtId="0" fontId="3" fillId="2" borderId="133" xfId="0" applyFont="1" applyFill="1" applyBorder="1" applyAlignment="1">
      <alignment horizontal="center" vertical="center"/>
    </xf>
    <xf numFmtId="49" fontId="4" fillId="3" borderId="134" xfId="0" applyNumberFormat="1" applyFont="1" applyFill="1" applyBorder="1" applyAlignment="1" applyProtection="1">
      <alignment horizontal="center" vertical="center"/>
      <protection locked="0"/>
    </xf>
    <xf numFmtId="49" fontId="4" fillId="3" borderId="135" xfId="0" applyNumberFormat="1" applyFont="1" applyFill="1" applyBorder="1" applyAlignment="1" applyProtection="1">
      <alignment horizontal="center" vertical="center"/>
      <protection locked="0"/>
    </xf>
    <xf numFmtId="0" fontId="3" fillId="2" borderId="136" xfId="0" applyFont="1" applyFill="1" applyBorder="1" applyAlignment="1">
      <alignment horizontal="center"/>
    </xf>
    <xf numFmtId="49" fontId="4" fillId="3" borderId="137" xfId="0" applyNumberFormat="1" applyFont="1" applyFill="1" applyBorder="1" applyAlignment="1" applyProtection="1">
      <alignment horizontal="center" vertical="center"/>
      <protection locked="0"/>
    </xf>
    <xf numFmtId="0" fontId="0" fillId="0" borderId="81" xfId="0" applyBorder="1"/>
    <xf numFmtId="0" fontId="10" fillId="2" borderId="138" xfId="0" applyFont="1" applyFill="1" applyBorder="1" applyAlignment="1">
      <alignment horizontal="center" vertical="center" wrapText="1"/>
    </xf>
    <xf numFmtId="4" fontId="1" fillId="2" borderId="53" xfId="2" applyNumberFormat="1" applyFill="1" applyBorder="1" applyProtection="1"/>
    <xf numFmtId="4" fontId="1" fillId="2" borderId="15" xfId="2" applyNumberFormat="1" applyFill="1" applyBorder="1" applyProtection="1"/>
    <xf numFmtId="0" fontId="0" fillId="2" borderId="26" xfId="0" applyFill="1" applyBorder="1" applyAlignment="1" applyProtection="1">
      <alignment horizontal="left"/>
      <protection locked="0"/>
    </xf>
    <xf numFmtId="0" fontId="0" fillId="0" borderId="9" xfId="0" applyBorder="1" applyAlignment="1">
      <alignment horizontal="center"/>
    </xf>
    <xf numFmtId="0" fontId="10" fillId="2" borderId="84" xfId="0" applyFont="1" applyFill="1" applyBorder="1" applyAlignment="1">
      <alignment horizontal="center" vertical="center" wrapText="1"/>
    </xf>
    <xf numFmtId="0" fontId="0" fillId="0" borderId="139" xfId="0" applyBorder="1" applyAlignment="1">
      <alignment horizontal="center"/>
    </xf>
    <xf numFmtId="0" fontId="7" fillId="2" borderId="140" xfId="0" applyFont="1" applyFill="1" applyBorder="1" applyAlignment="1">
      <alignment horizontal="center" vertical="center" wrapText="1"/>
    </xf>
    <xf numFmtId="0" fontId="0" fillId="0" borderId="14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164" fontId="1" fillId="2" borderId="19" xfId="2" applyFill="1" applyBorder="1" applyAlignment="1" applyProtection="1">
      <alignment horizontal="center"/>
    </xf>
    <xf numFmtId="4" fontId="1" fillId="2" borderId="14" xfId="2" applyNumberFormat="1" applyFill="1" applyBorder="1" applyProtection="1"/>
    <xf numFmtId="168" fontId="4" fillId="3" borderId="41" xfId="0" applyNumberFormat="1" applyFont="1" applyFill="1" applyBorder="1" applyAlignment="1" applyProtection="1">
      <alignment horizontal="center" vertical="center"/>
      <protection locked="0"/>
    </xf>
    <xf numFmtId="168" fontId="4" fillId="3" borderId="142" xfId="0" applyNumberFormat="1" applyFont="1" applyFill="1" applyBorder="1" applyAlignment="1" applyProtection="1">
      <alignment horizontal="center"/>
      <protection locked="0"/>
    </xf>
    <xf numFmtId="165" fontId="0" fillId="2" borderId="79" xfId="0" applyNumberFormat="1" applyFill="1" applyBorder="1"/>
    <xf numFmtId="0" fontId="0" fillId="0" borderId="143" xfId="0" applyBorder="1"/>
    <xf numFmtId="165" fontId="0" fillId="2" borderId="144" xfId="0" applyNumberFormat="1" applyFill="1" applyBorder="1"/>
    <xf numFmtId="0" fontId="0" fillId="0" borderId="10" xfId="0" applyBorder="1"/>
    <xf numFmtId="2" fontId="1" fillId="2" borderId="22" xfId="1" applyNumberFormat="1" applyFill="1" applyBorder="1" applyProtection="1"/>
    <xf numFmtId="165" fontId="0" fillId="2" borderId="22" xfId="0" applyNumberFormat="1" applyFill="1" applyBorder="1"/>
    <xf numFmtId="165" fontId="0" fillId="2" borderId="24" xfId="0" applyNumberFormat="1" applyFill="1" applyBorder="1"/>
    <xf numFmtId="2" fontId="1" fillId="2" borderId="26" xfId="1" applyNumberFormat="1" applyFill="1" applyBorder="1" applyProtection="1"/>
    <xf numFmtId="2" fontId="1" fillId="2" borderId="86" xfId="1" applyNumberFormat="1" applyFill="1" applyBorder="1" applyProtection="1"/>
    <xf numFmtId="49" fontId="6" fillId="3" borderId="0" xfId="1" applyNumberFormat="1" applyFont="1" applyFill="1" applyBorder="1" applyAlignment="1" applyProtection="1">
      <alignment horizontal="center"/>
      <protection locked="0"/>
    </xf>
    <xf numFmtId="49" fontId="10" fillId="3" borderId="0" xfId="0" applyNumberFormat="1" applyFont="1" applyFill="1" applyAlignment="1" applyProtection="1">
      <alignment horizontal="center"/>
      <protection locked="0"/>
    </xf>
    <xf numFmtId="0" fontId="7" fillId="2" borderId="0" xfId="0" applyFont="1" applyFill="1" applyAlignment="1">
      <alignment horizontal="right"/>
    </xf>
    <xf numFmtId="168" fontId="1" fillId="3" borderId="0" xfId="1" applyNumberFormat="1" applyFill="1" applyBorder="1" applyAlignment="1" applyProtection="1">
      <alignment horizontal="center"/>
      <protection locked="0"/>
    </xf>
    <xf numFmtId="14" fontId="7" fillId="2" borderId="0" xfId="0" applyNumberFormat="1" applyFont="1" applyFill="1" applyAlignment="1">
      <alignment horizontal="right"/>
    </xf>
    <xf numFmtId="4" fontId="6" fillId="3" borderId="0" xfId="1" applyNumberFormat="1" applyFont="1" applyFill="1" applyBorder="1" applyAlignment="1" applyProtection="1">
      <alignment horizontal="center"/>
      <protection locked="0"/>
    </xf>
    <xf numFmtId="1" fontId="10" fillId="2" borderId="0" xfId="0" applyNumberFormat="1" applyFont="1" applyFill="1" applyAlignment="1" applyProtection="1">
      <alignment horizontal="center"/>
      <protection locked="0"/>
    </xf>
    <xf numFmtId="0" fontId="6" fillId="2" borderId="21" xfId="0" applyFont="1" applyFill="1" applyBorder="1" applyAlignment="1">
      <alignment horizontal="centerContinuous"/>
    </xf>
    <xf numFmtId="0" fontId="6" fillId="2" borderId="32" xfId="0" applyFont="1" applyFill="1" applyBorder="1" applyAlignment="1">
      <alignment horizontal="centerContinuous" vertical="top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3" fillId="2" borderId="0" xfId="0" applyFont="1" applyFill="1" applyAlignment="1">
      <alignment horizontal="center" vertical="center"/>
    </xf>
    <xf numFmtId="0" fontId="6" fillId="2" borderId="81" xfId="0" applyFont="1" applyFill="1" applyBorder="1"/>
    <xf numFmtId="0" fontId="2" fillId="2" borderId="22" xfId="0" applyFont="1" applyFill="1" applyBorder="1" applyAlignment="1">
      <alignment horizontal="centerContinuous"/>
    </xf>
    <xf numFmtId="0" fontId="7" fillId="2" borderId="40" xfId="0" applyFont="1" applyFill="1" applyBorder="1" applyAlignment="1">
      <alignment horizontal="centerContinuous" vertical="top"/>
    </xf>
    <xf numFmtId="0" fontId="16" fillId="2" borderId="22" xfId="0" applyFont="1" applyFill="1" applyBorder="1" applyAlignment="1">
      <alignment horizontal="centerContinuous"/>
    </xf>
    <xf numFmtId="0" fontId="7" fillId="2" borderId="27" xfId="0" applyFont="1" applyFill="1" applyBorder="1" applyAlignment="1">
      <alignment horizontal="centerContinuous" vertical="top"/>
    </xf>
    <xf numFmtId="0" fontId="3" fillId="2" borderId="26" xfId="0" applyFont="1" applyFill="1" applyBorder="1"/>
    <xf numFmtId="0" fontId="6" fillId="2" borderId="86" xfId="0" applyFont="1" applyFill="1" applyBorder="1"/>
    <xf numFmtId="0" fontId="1" fillId="2" borderId="66" xfId="0" applyFont="1" applyFill="1" applyBorder="1"/>
    <xf numFmtId="0" fontId="1" fillId="2" borderId="145" xfId="0" applyFont="1" applyFill="1" applyBorder="1"/>
    <xf numFmtId="0" fontId="0" fillId="0" borderId="5" xfId="0" applyBorder="1"/>
    <xf numFmtId="0" fontId="3" fillId="2" borderId="27" xfId="0" applyFont="1" applyFill="1" applyBorder="1"/>
    <xf numFmtId="0" fontId="7" fillId="2" borderId="27" xfId="0" applyFont="1" applyFill="1" applyBorder="1"/>
    <xf numFmtId="0" fontId="1" fillId="2" borderId="5" xfId="0" applyFont="1" applyFill="1" applyBorder="1"/>
    <xf numFmtId="0" fontId="1" fillId="2" borderId="25" xfId="0" applyFont="1" applyFill="1" applyBorder="1"/>
    <xf numFmtId="0" fontId="0" fillId="2" borderId="84" xfId="0" applyFill="1" applyBorder="1"/>
    <xf numFmtId="0" fontId="0" fillId="2" borderId="85" xfId="0" applyFill="1" applyBorder="1"/>
    <xf numFmtId="0" fontId="6" fillId="2" borderId="84" xfId="0" applyFont="1" applyFill="1" applyBorder="1" applyAlignment="1">
      <alignment horizontal="centerContinuous" vertical="top" wrapText="1"/>
    </xf>
    <xf numFmtId="0" fontId="6" fillId="2" borderId="85" xfId="0" applyFont="1" applyFill="1" applyBorder="1" applyAlignment="1">
      <alignment horizontal="right" vertical="top"/>
    </xf>
    <xf numFmtId="0" fontId="7" fillId="2" borderId="85" xfId="0" applyFont="1" applyFill="1" applyBorder="1" applyAlignment="1">
      <alignment vertical="top"/>
    </xf>
    <xf numFmtId="0" fontId="1" fillId="0" borderId="5" xfId="0" applyFont="1" applyBorder="1"/>
    <xf numFmtId="4" fontId="6" fillId="0" borderId="60" xfId="0" applyNumberFormat="1" applyFont="1" applyBorder="1" applyAlignment="1">
      <alignment horizontal="center"/>
    </xf>
    <xf numFmtId="0" fontId="6" fillId="3" borderId="33" xfId="0" applyFont="1" applyFill="1" applyBorder="1" applyAlignment="1" applyProtection="1">
      <alignment horizontal="left"/>
      <protection locked="0"/>
    </xf>
    <xf numFmtId="0" fontId="6" fillId="3" borderId="33" xfId="0" applyFont="1" applyFill="1" applyBorder="1" applyProtection="1">
      <protection locked="0"/>
    </xf>
    <xf numFmtId="0" fontId="6" fillId="3" borderId="41" xfId="0" applyFont="1" applyFill="1" applyBorder="1" applyProtection="1">
      <protection locked="0"/>
    </xf>
    <xf numFmtId="0" fontId="3" fillId="3" borderId="70" xfId="0" applyFont="1" applyFill="1" applyBorder="1"/>
    <xf numFmtId="164" fontId="10" fillId="4" borderId="104" xfId="2" applyFont="1" applyFill="1" applyBorder="1" applyAlignment="1" applyProtection="1">
      <alignment horizontal="centerContinuous"/>
    </xf>
    <xf numFmtId="166" fontId="10" fillId="4" borderId="104" xfId="2" applyNumberFormat="1" applyFont="1" applyFill="1" applyBorder="1" applyAlignment="1" applyProtection="1">
      <alignment horizontal="centerContinuous"/>
    </xf>
    <xf numFmtId="0" fontId="7" fillId="3" borderId="42" xfId="0" applyFont="1" applyFill="1" applyBorder="1" applyProtection="1">
      <protection locked="0"/>
    </xf>
    <xf numFmtId="0" fontId="7" fillId="3" borderId="42" xfId="0" applyFont="1" applyFill="1" applyBorder="1" applyAlignment="1" applyProtection="1">
      <alignment horizontal="centerContinuous"/>
      <protection locked="0"/>
    </xf>
    <xf numFmtId="4" fontId="1" fillId="2" borderId="150" xfId="1" applyNumberFormat="1" applyFill="1" applyBorder="1" applyAlignment="1">
      <alignment horizontal="center"/>
    </xf>
    <xf numFmtId="0" fontId="3" fillId="5" borderId="70" xfId="0" applyFont="1" applyFill="1" applyBorder="1"/>
    <xf numFmtId="0" fontId="4" fillId="5" borderId="70" xfId="0" applyFont="1" applyFill="1" applyBorder="1"/>
    <xf numFmtId="166" fontId="6" fillId="6" borderId="117" xfId="0" applyNumberFormat="1" applyFont="1" applyFill="1" applyBorder="1" applyAlignment="1" applyProtection="1">
      <alignment horizontal="centerContinuous"/>
      <protection locked="0"/>
    </xf>
    <xf numFmtId="0" fontId="4" fillId="6" borderId="114" xfId="0" applyFont="1" applyFill="1" applyBorder="1" applyAlignment="1">
      <alignment horizontal="centerContinuous"/>
    </xf>
    <xf numFmtId="4" fontId="4" fillId="3" borderId="108" xfId="0" applyNumberFormat="1" applyFont="1" applyFill="1" applyBorder="1" applyProtection="1">
      <protection locked="0"/>
    </xf>
    <xf numFmtId="4" fontId="4" fillId="0" borderId="18" xfId="0" applyNumberFormat="1" applyFont="1" applyBorder="1"/>
    <xf numFmtId="4" fontId="4" fillId="0" borderId="109" xfId="0" applyNumberFormat="1" applyFont="1" applyBorder="1"/>
    <xf numFmtId="2" fontId="0" fillId="0" borderId="0" xfId="0" applyNumberFormat="1"/>
    <xf numFmtId="44" fontId="0" fillId="0" borderId="0" xfId="3" applyFont="1" applyProtection="1">
      <protection locked="0"/>
    </xf>
    <xf numFmtId="4" fontId="6" fillId="6" borderId="59" xfId="0" applyNumberFormat="1" applyFont="1" applyFill="1" applyBorder="1" applyAlignment="1">
      <alignment horizontal="center"/>
    </xf>
    <xf numFmtId="1" fontId="1" fillId="3" borderId="31" xfId="0" applyNumberFormat="1" applyFont="1" applyFill="1" applyBorder="1" applyAlignment="1" applyProtection="1">
      <alignment horizontal="center" vertical="center"/>
      <protection locked="0"/>
    </xf>
    <xf numFmtId="49" fontId="1" fillId="3" borderId="31" xfId="0" applyNumberFormat="1" applyFont="1" applyFill="1" applyBorder="1" applyAlignment="1" applyProtection="1">
      <alignment horizontal="center" vertical="center"/>
      <protection locked="0"/>
    </xf>
    <xf numFmtId="44" fontId="1" fillId="0" borderId="0" xfId="3" applyFont="1" applyProtection="1">
      <protection locked="0"/>
    </xf>
    <xf numFmtId="10" fontId="0" fillId="0" borderId="0" xfId="1" applyNumberFormat="1" applyFont="1" applyProtection="1">
      <protection locked="0"/>
    </xf>
    <xf numFmtId="2" fontId="0" fillId="0" borderId="0" xfId="0" applyNumberFormat="1" applyProtection="1">
      <protection locked="0"/>
    </xf>
    <xf numFmtId="0" fontId="1" fillId="3" borderId="42" xfId="0" applyFont="1" applyFill="1" applyBorder="1" applyAlignment="1" applyProtection="1">
      <alignment horizontal="centerContinuous"/>
      <protection locked="0"/>
    </xf>
    <xf numFmtId="4" fontId="6" fillId="7" borderId="59" xfId="0" applyNumberFormat="1" applyFont="1" applyFill="1" applyBorder="1" applyAlignment="1">
      <alignment horizontal="center"/>
    </xf>
    <xf numFmtId="164" fontId="6" fillId="7" borderId="117" xfId="0" applyNumberFormat="1" applyFont="1" applyFill="1" applyBorder="1" applyAlignment="1">
      <alignment horizontal="centerContinuous"/>
    </xf>
    <xf numFmtId="0" fontId="4" fillId="7" borderId="115" xfId="0" applyFont="1" applyFill="1" applyBorder="1" applyAlignment="1">
      <alignment horizontal="centerContinuous"/>
    </xf>
    <xf numFmtId="2" fontId="1" fillId="4" borderId="18" xfId="0" applyNumberFormat="1" applyFont="1" applyFill="1" applyBorder="1" applyProtection="1">
      <protection locked="0"/>
    </xf>
    <xf numFmtId="14" fontId="7" fillId="3" borderId="6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/>
      <protection locked="0"/>
    </xf>
    <xf numFmtId="2" fontId="0" fillId="0" borderId="0" xfId="0" applyNumberFormat="1" applyAlignment="1" applyProtection="1">
      <alignment horizont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2" fontId="0" fillId="0" borderId="9" xfId="0" applyNumberFormat="1" applyBorder="1" applyAlignment="1" applyProtection="1">
      <alignment horizontal="center"/>
      <protection locked="0"/>
    </xf>
    <xf numFmtId="2" fontId="0" fillId="0" borderId="121" xfId="0" applyNumberFormat="1" applyBorder="1" applyAlignment="1" applyProtection="1">
      <alignment horizontal="center"/>
      <protection locked="0"/>
    </xf>
    <xf numFmtId="2" fontId="0" fillId="0" borderId="126" xfId="0" applyNumberFormat="1" applyBorder="1" applyAlignment="1" applyProtection="1">
      <alignment horizontal="center"/>
      <protection locked="0"/>
    </xf>
    <xf numFmtId="2" fontId="0" fillId="0" borderId="99" xfId="0" applyNumberFormat="1" applyBorder="1" applyAlignment="1" applyProtection="1">
      <alignment horizontal="center"/>
      <protection locked="0"/>
    </xf>
    <xf numFmtId="2" fontId="0" fillId="0" borderId="55" xfId="0" applyNumberFormat="1" applyBorder="1" applyAlignment="1" applyProtection="1">
      <alignment horizontal="center"/>
      <protection locked="0"/>
    </xf>
    <xf numFmtId="2" fontId="0" fillId="0" borderId="96" xfId="0" applyNumberFormat="1" applyBorder="1" applyAlignment="1" applyProtection="1">
      <alignment horizontal="center"/>
      <protection locked="0"/>
    </xf>
    <xf numFmtId="2" fontId="0" fillId="0" borderId="53" xfId="0" applyNumberFormat="1" applyBorder="1" applyAlignment="1" applyProtection="1">
      <alignment horizontal="center"/>
      <protection locked="0"/>
    </xf>
    <xf numFmtId="2" fontId="0" fillId="0" borderId="15" xfId="0" applyNumberFormat="1" applyBorder="1" applyAlignment="1" applyProtection="1">
      <alignment horizontal="center"/>
      <protection locked="0"/>
    </xf>
    <xf numFmtId="2" fontId="0" fillId="0" borderId="54" xfId="0" applyNumberFormat="1" applyBorder="1" applyAlignment="1" applyProtection="1">
      <alignment horizontal="center"/>
      <protection locked="0"/>
    </xf>
    <xf numFmtId="2" fontId="0" fillId="0" borderId="152" xfId="0" applyNumberFormat="1" applyBorder="1" applyAlignment="1" applyProtection="1">
      <alignment horizontal="center"/>
      <protection locked="0"/>
    </xf>
    <xf numFmtId="2" fontId="0" fillId="0" borderId="153" xfId="0" applyNumberFormat="1" applyBorder="1" applyAlignment="1" applyProtection="1">
      <alignment horizontal="center"/>
      <protection locked="0"/>
    </xf>
    <xf numFmtId="2" fontId="0" fillId="0" borderId="154" xfId="0" applyNumberFormat="1" applyBorder="1" applyAlignment="1" applyProtection="1">
      <alignment horizontal="center"/>
      <protection locked="0"/>
    </xf>
    <xf numFmtId="2" fontId="0" fillId="0" borderId="84" xfId="0" applyNumberFormat="1" applyBorder="1" applyAlignment="1" applyProtection="1">
      <alignment horizontal="center"/>
      <protection locked="0"/>
    </xf>
    <xf numFmtId="2" fontId="0" fillId="0" borderId="85" xfId="0" applyNumberFormat="1" applyBorder="1" applyAlignment="1" applyProtection="1">
      <alignment horizontal="center"/>
      <protection locked="0"/>
    </xf>
    <xf numFmtId="2" fontId="0" fillId="0" borderId="83" xfId="0" applyNumberFormat="1" applyBorder="1" applyAlignment="1" applyProtection="1">
      <alignment horizontal="center"/>
      <protection locked="0"/>
    </xf>
    <xf numFmtId="0" fontId="13" fillId="2" borderId="151" xfId="0" applyFont="1" applyFill="1" applyBorder="1" applyAlignment="1">
      <alignment horizontal="center" vertical="top" wrapText="1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46" xfId="0" applyFont="1" applyBorder="1" applyAlignment="1" applyProtection="1">
      <alignment horizontal="center" vertical="center"/>
      <protection locked="0"/>
    </xf>
    <xf numFmtId="0" fontId="6" fillId="2" borderId="26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6" fillId="2" borderId="86" xfId="0" applyFont="1" applyFill="1" applyBorder="1" applyAlignment="1">
      <alignment horizontal="left" wrapText="1"/>
    </xf>
    <xf numFmtId="0" fontId="1" fillId="2" borderId="26" xfId="0" applyFont="1" applyFill="1" applyBorder="1" applyAlignment="1">
      <alignment horizontal="left" wrapText="1"/>
    </xf>
    <xf numFmtId="0" fontId="7" fillId="2" borderId="0" xfId="0" applyFont="1" applyFill="1" applyAlignment="1">
      <alignment horizontal="left" wrapText="1"/>
    </xf>
    <xf numFmtId="0" fontId="7" fillId="2" borderId="86" xfId="0" applyFont="1" applyFill="1" applyBorder="1" applyAlignment="1">
      <alignment horizontal="left" wrapText="1"/>
    </xf>
    <xf numFmtId="0" fontId="1" fillId="2" borderId="32" xfId="0" applyFont="1" applyFill="1" applyBorder="1" applyAlignment="1">
      <alignment horizontal="left" wrapText="1"/>
    </xf>
    <xf numFmtId="0" fontId="7" fillId="2" borderId="27" xfId="0" applyFont="1" applyFill="1" applyBorder="1" applyAlignment="1">
      <alignment horizontal="left" wrapText="1"/>
    </xf>
    <xf numFmtId="0" fontId="7" fillId="2" borderId="114" xfId="0" applyFont="1" applyFill="1" applyBorder="1" applyAlignment="1">
      <alignment horizontal="left" wrapText="1"/>
    </xf>
    <xf numFmtId="165" fontId="1" fillId="2" borderId="84" xfId="0" applyNumberFormat="1" applyFont="1" applyFill="1" applyBorder="1" applyAlignment="1">
      <alignment horizontal="center" vertical="top" wrapText="1"/>
    </xf>
    <xf numFmtId="165" fontId="1" fillId="2" borderId="85" xfId="0" applyNumberFormat="1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2" fontId="1" fillId="2" borderId="17" xfId="1" applyNumberFormat="1" applyFont="1" applyFill="1" applyBorder="1" applyAlignment="1" applyProtection="1">
      <alignment horizontal="center" vertical="top" wrapText="1"/>
    </xf>
    <xf numFmtId="0" fontId="6" fillId="3" borderId="104" xfId="0" applyFont="1" applyFill="1" applyBorder="1" applyAlignment="1" applyProtection="1">
      <alignment horizontal="left"/>
      <protection locked="0"/>
    </xf>
    <xf numFmtId="0" fontId="6" fillId="3" borderId="105" xfId="0" applyFont="1" applyFill="1" applyBorder="1" applyAlignment="1" applyProtection="1">
      <alignment horizontal="left"/>
      <protection locked="0"/>
    </xf>
    <xf numFmtId="0" fontId="6" fillId="3" borderId="62" xfId="0" applyFont="1" applyFill="1" applyBorder="1" applyAlignment="1" applyProtection="1">
      <alignment horizontal="left"/>
      <protection locked="0"/>
    </xf>
    <xf numFmtId="0" fontId="6" fillId="3" borderId="106" xfId="0" applyFont="1" applyFill="1" applyBorder="1" applyAlignment="1" applyProtection="1">
      <alignment horizontal="left"/>
      <protection locked="0"/>
    </xf>
    <xf numFmtId="0" fontId="0" fillId="2" borderId="21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86" xfId="0" applyFill="1" applyBorder="1" applyAlignment="1">
      <alignment horizontal="center" wrapText="1"/>
    </xf>
    <xf numFmtId="0" fontId="0" fillId="2" borderId="149" xfId="0" applyFill="1" applyBorder="1" applyAlignment="1">
      <alignment horizontal="center" wrapText="1"/>
    </xf>
    <xf numFmtId="0" fontId="0" fillId="2" borderId="106" xfId="0" applyFill="1" applyBorder="1" applyAlignment="1">
      <alignment horizontal="center" wrapText="1"/>
    </xf>
    <xf numFmtId="49" fontId="6" fillId="3" borderId="0" xfId="1" applyNumberFormat="1" applyFont="1" applyFill="1" applyBorder="1" applyAlignment="1" applyProtection="1">
      <alignment horizontal="center"/>
      <protection locked="0"/>
    </xf>
    <xf numFmtId="0" fontId="6" fillId="3" borderId="0" xfId="1" applyNumberFormat="1" applyFont="1" applyFill="1" applyBorder="1" applyAlignment="1" applyProtection="1">
      <alignment horizontal="center"/>
      <protection locked="0"/>
    </xf>
    <xf numFmtId="168" fontId="6" fillId="3" borderId="0" xfId="1" applyNumberFormat="1" applyFont="1" applyFill="1" applyBorder="1" applyAlignment="1" applyProtection="1">
      <alignment horizontal="center"/>
      <protection locked="0"/>
    </xf>
    <xf numFmtId="0" fontId="0" fillId="2" borderId="146" xfId="0" applyFill="1" applyBorder="1" applyAlignment="1">
      <alignment horizontal="center" wrapText="1"/>
    </xf>
    <xf numFmtId="0" fontId="0" fillId="2" borderId="147" xfId="0" applyFill="1" applyBorder="1" applyAlignment="1">
      <alignment horizontal="center" wrapText="1"/>
    </xf>
    <xf numFmtId="0" fontId="0" fillId="2" borderId="148" xfId="0" applyFill="1" applyBorder="1" applyAlignment="1">
      <alignment horizontal="center" wrapText="1"/>
    </xf>
  </cellXfs>
  <cellStyles count="4">
    <cellStyle name="Moeda" xfId="3" builtinId="4"/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441960</xdr:colOff>
      <xdr:row>7</xdr:row>
      <xdr:rowOff>91440</xdr:rowOff>
    </xdr:from>
    <xdr:to>
      <xdr:col>0</xdr:col>
      <xdr:colOff>441960</xdr:colOff>
      <xdr:row>7</xdr:row>
      <xdr:rowOff>381000</xdr:rowOff>
    </xdr:to>
    <xdr:sp macro="" textlink="">
      <xdr:nvSpPr>
        <xdr:cNvPr id="1110" name="Line 1">
          <a:extLst>
            <a:ext uri="{FF2B5EF4-FFF2-40B4-BE49-F238E27FC236}">
              <a16:creationId xmlns:a16="http://schemas.microsoft.com/office/drawing/2014/main" id="{5352C7A6-F3C4-4CED-BE65-3EE123D1E7F7}"/>
            </a:ext>
          </a:extLst>
        </xdr:cNvPr>
        <xdr:cNvSpPr>
          <a:spLocks noChangeShapeType="1"/>
        </xdr:cNvSpPr>
      </xdr:nvSpPr>
      <xdr:spPr bwMode="auto">
        <a:xfrm flipV="1">
          <a:off x="441960" y="1668780"/>
          <a:ext cx="0" cy="2590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441960</xdr:colOff>
      <xdr:row>7</xdr:row>
      <xdr:rowOff>91440</xdr:rowOff>
    </xdr:from>
    <xdr:to>
      <xdr:col>17</xdr:col>
      <xdr:colOff>441960</xdr:colOff>
      <xdr:row>7</xdr:row>
      <xdr:rowOff>381000</xdr:rowOff>
    </xdr:to>
    <xdr:sp macro="" textlink="">
      <xdr:nvSpPr>
        <xdr:cNvPr id="1111" name="Line 2">
          <a:extLst>
            <a:ext uri="{FF2B5EF4-FFF2-40B4-BE49-F238E27FC236}">
              <a16:creationId xmlns:a16="http://schemas.microsoft.com/office/drawing/2014/main" id="{A4A3EF13-A302-4ADE-98CD-773ED7E1C934}"/>
            </a:ext>
          </a:extLst>
        </xdr:cNvPr>
        <xdr:cNvSpPr>
          <a:spLocks noChangeShapeType="1"/>
        </xdr:cNvSpPr>
      </xdr:nvSpPr>
      <xdr:spPr bwMode="auto">
        <a:xfrm flipV="1">
          <a:off x="13738860" y="1668780"/>
          <a:ext cx="0" cy="2590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403532</xdr:colOff>
      <xdr:row>0</xdr:row>
      <xdr:rowOff>183842</xdr:rowOff>
    </xdr:from>
    <xdr:to>
      <xdr:col>10</xdr:col>
      <xdr:colOff>413199</xdr:colOff>
      <xdr:row>1</xdr:row>
      <xdr:rowOff>30726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E498B35-48F9-411A-A40D-3A7FB58AA2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2484" y="183842"/>
          <a:ext cx="6882005" cy="1045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466847</xdr:colOff>
      <xdr:row>30</xdr:row>
      <xdr:rowOff>22171</xdr:rowOff>
    </xdr:from>
    <xdr:to>
      <xdr:col>10</xdr:col>
      <xdr:colOff>565</xdr:colOff>
      <xdr:row>30</xdr:row>
      <xdr:rowOff>222196</xdr:rowOff>
    </xdr:to>
    <xdr:sp macro="" textlink="">
      <xdr:nvSpPr>
        <xdr:cNvPr id="2049" name="Texto 2">
          <a:extLst>
            <a:ext uri="{FF2B5EF4-FFF2-40B4-BE49-F238E27FC236}">
              <a16:creationId xmlns:a16="http://schemas.microsoft.com/office/drawing/2014/main" id="{6D199C01-A6B8-454A-B300-5F2042338D56}"/>
            </a:ext>
          </a:extLst>
        </xdr:cNvPr>
        <xdr:cNvSpPr txBox="1">
          <a:spLocks noChangeArrowheads="1"/>
        </xdr:cNvSpPr>
      </xdr:nvSpPr>
      <xdr:spPr bwMode="auto">
        <a:xfrm>
          <a:off x="7245810" y="5575043"/>
          <a:ext cx="131564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CC" mc:Ignorable="a14" a14:legacySpreadsheetColorIndex="26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(</a:t>
          </a:r>
        </a:p>
      </xdr:txBody>
    </xdr:sp>
    <xdr:clientData/>
  </xdr:twoCellAnchor>
  <xdr:twoCellAnchor>
    <xdr:from>
      <xdr:col>3</xdr:col>
      <xdr:colOff>1905</xdr:colOff>
      <xdr:row>5</xdr:row>
      <xdr:rowOff>0</xdr:rowOff>
    </xdr:from>
    <xdr:to>
      <xdr:col>3</xdr:col>
      <xdr:colOff>171541</xdr:colOff>
      <xdr:row>6</xdr:row>
      <xdr:rowOff>0</xdr:rowOff>
    </xdr:to>
    <xdr:sp macro="" textlink="">
      <xdr:nvSpPr>
        <xdr:cNvPr id="2050" name="Texto 3">
          <a:extLst>
            <a:ext uri="{FF2B5EF4-FFF2-40B4-BE49-F238E27FC236}">
              <a16:creationId xmlns:a16="http://schemas.microsoft.com/office/drawing/2014/main" id="{D2626EFA-8F77-4C7D-B4BF-4A8C0E9217CC}"/>
            </a:ext>
          </a:extLst>
        </xdr:cNvPr>
        <xdr:cNvSpPr txBox="1">
          <a:spLocks noChangeArrowheads="1"/>
        </xdr:cNvSpPr>
      </xdr:nvSpPr>
      <xdr:spPr bwMode="auto">
        <a:xfrm>
          <a:off x="990600" y="1266825"/>
          <a:ext cx="1619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CC" mc:Ignorable="a14" a14:legacySpreadsheetColorIndex="26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Nº.</a:t>
          </a:r>
        </a:p>
      </xdr:txBody>
    </xdr:sp>
    <xdr:clientData/>
  </xdr:twoCellAnchor>
  <xdr:twoCellAnchor>
    <xdr:from>
      <xdr:col>8</xdr:col>
      <xdr:colOff>114299</xdr:colOff>
      <xdr:row>31</xdr:row>
      <xdr:rowOff>28575</xdr:rowOff>
    </xdr:from>
    <xdr:to>
      <xdr:col>8</xdr:col>
      <xdr:colOff>283935</xdr:colOff>
      <xdr:row>31</xdr:row>
      <xdr:rowOff>219075</xdr:rowOff>
    </xdr:to>
    <xdr:sp macro="" textlink="">
      <xdr:nvSpPr>
        <xdr:cNvPr id="2051" name="Texto 4">
          <a:extLst>
            <a:ext uri="{FF2B5EF4-FFF2-40B4-BE49-F238E27FC236}">
              <a16:creationId xmlns:a16="http://schemas.microsoft.com/office/drawing/2014/main" id="{996B826F-E1FC-423E-B9EA-78CC42891F12}"/>
            </a:ext>
          </a:extLst>
        </xdr:cNvPr>
        <xdr:cNvSpPr txBox="1">
          <a:spLocks noChangeArrowheads="1"/>
        </xdr:cNvSpPr>
      </xdr:nvSpPr>
      <xdr:spPr bwMode="auto">
        <a:xfrm>
          <a:off x="5575975" y="6189426"/>
          <a:ext cx="169636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CC" mc:Ignorable="a14" a14:legacySpreadsheetColorIndex="26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</a:p>
      </xdr:txBody>
    </xdr:sp>
    <xdr:clientData/>
  </xdr:twoCellAnchor>
  <xdr:twoCellAnchor>
    <xdr:from>
      <xdr:col>3</xdr:col>
      <xdr:colOff>1905</xdr:colOff>
      <xdr:row>10</xdr:row>
      <xdr:rowOff>0</xdr:rowOff>
    </xdr:from>
    <xdr:to>
      <xdr:col>3</xdr:col>
      <xdr:colOff>171541</xdr:colOff>
      <xdr:row>11</xdr:row>
      <xdr:rowOff>0</xdr:rowOff>
    </xdr:to>
    <xdr:sp macro="" textlink="">
      <xdr:nvSpPr>
        <xdr:cNvPr id="2053" name="Texto 3">
          <a:extLst>
            <a:ext uri="{FF2B5EF4-FFF2-40B4-BE49-F238E27FC236}">
              <a16:creationId xmlns:a16="http://schemas.microsoft.com/office/drawing/2014/main" id="{F31E9500-0DD8-4755-8B82-9DCCE5BFEC4F}"/>
            </a:ext>
          </a:extLst>
        </xdr:cNvPr>
        <xdr:cNvSpPr txBox="1">
          <a:spLocks noChangeArrowheads="1"/>
        </xdr:cNvSpPr>
      </xdr:nvSpPr>
      <xdr:spPr bwMode="auto">
        <a:xfrm>
          <a:off x="990600" y="2066925"/>
          <a:ext cx="1619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CC" mc:Ignorable="a14" a14:legacySpreadsheetColorIndex="26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Nº.</a:t>
          </a:r>
        </a:p>
      </xdr:txBody>
    </xdr:sp>
    <xdr:clientData/>
  </xdr:twoCellAnchor>
  <xdr:twoCellAnchor>
    <xdr:from>
      <xdr:col>3</xdr:col>
      <xdr:colOff>1905</xdr:colOff>
      <xdr:row>11</xdr:row>
      <xdr:rowOff>28575</xdr:rowOff>
    </xdr:from>
    <xdr:to>
      <xdr:col>3</xdr:col>
      <xdr:colOff>171541</xdr:colOff>
      <xdr:row>11</xdr:row>
      <xdr:rowOff>171450</xdr:rowOff>
    </xdr:to>
    <xdr:sp macro="" textlink="">
      <xdr:nvSpPr>
        <xdr:cNvPr id="2055" name="Texto 3">
          <a:extLst>
            <a:ext uri="{FF2B5EF4-FFF2-40B4-BE49-F238E27FC236}">
              <a16:creationId xmlns:a16="http://schemas.microsoft.com/office/drawing/2014/main" id="{488F24A3-F25D-46EF-9877-C851E899D100}"/>
            </a:ext>
          </a:extLst>
        </xdr:cNvPr>
        <xdr:cNvSpPr txBox="1">
          <a:spLocks noChangeArrowheads="1"/>
        </xdr:cNvSpPr>
      </xdr:nvSpPr>
      <xdr:spPr bwMode="auto">
        <a:xfrm>
          <a:off x="990600" y="2266950"/>
          <a:ext cx="16192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CC" mc:Ignorable="a14" a14:legacySpreadsheetColorIndex="26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Nº.</a:t>
          </a:r>
        </a:p>
      </xdr:txBody>
    </xdr:sp>
    <xdr:clientData/>
  </xdr:twoCellAnchor>
  <xdr:twoCellAnchor editAs="oneCell">
    <xdr:from>
      <xdr:col>3</xdr:col>
      <xdr:colOff>1104495</xdr:colOff>
      <xdr:row>0</xdr:row>
      <xdr:rowOff>141863</xdr:rowOff>
    </xdr:from>
    <xdr:to>
      <xdr:col>9</xdr:col>
      <xdr:colOff>23509</xdr:colOff>
      <xdr:row>0</xdr:row>
      <xdr:rowOff>871859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56BCB86-5964-4897-8CC1-8824E9FD3B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87394" y="141863"/>
          <a:ext cx="4934761" cy="7299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248"/>
  <sheetViews>
    <sheetView showZeros="0" topLeftCell="B193" zoomScale="93" zoomScaleNormal="93" zoomScaleSheetLayoutView="100" workbookViewId="0">
      <selection activeCell="E202" sqref="E202"/>
    </sheetView>
  </sheetViews>
  <sheetFormatPr defaultColWidth="8.42578125" defaultRowHeight="12.75"/>
  <cols>
    <col min="1" max="1" width="8.42578125" style="19" hidden="1" customWidth="1"/>
    <col min="2" max="2" width="1.5703125" style="19" customWidth="1"/>
    <col min="3" max="3" width="4.140625" style="19" customWidth="1"/>
    <col min="4" max="4" width="13.5703125" style="19" customWidth="1"/>
    <col min="5" max="5" width="9.42578125" style="19" customWidth="1"/>
    <col min="6" max="6" width="10" style="19" customWidth="1"/>
    <col min="7" max="7" width="43.28515625" style="19" customWidth="1"/>
    <col min="8" max="8" width="7" style="19" customWidth="1"/>
    <col min="9" max="9" width="10" style="19" customWidth="1"/>
    <col min="10" max="10" width="9.85546875" style="19" customWidth="1"/>
    <col min="11" max="11" width="7" style="19" customWidth="1"/>
    <col min="12" max="12" width="12.42578125" style="19" customWidth="1"/>
    <col min="13" max="13" width="12.5703125" style="19" customWidth="1"/>
    <col min="14" max="15" width="15.5703125" style="19" customWidth="1"/>
    <col min="16" max="16" width="15.85546875" style="19" customWidth="1"/>
    <col min="17" max="17" width="1.42578125" style="19" customWidth="1"/>
    <col min="18" max="18" width="1.5703125" style="19" customWidth="1"/>
    <col min="19" max="22" width="14.42578125" style="19" customWidth="1"/>
    <col min="23" max="23" width="1.140625" style="19" customWidth="1"/>
    <col min="24" max="24" width="9.5703125" style="19" bestFit="1" customWidth="1"/>
    <col min="25" max="25" width="8.42578125" style="19" bestFit="1" customWidth="1"/>
    <col min="26" max="26" width="8.42578125" style="19"/>
    <col min="27" max="33" width="11.7109375" style="156" customWidth="1"/>
    <col min="34" max="16384" width="8.42578125" style="19"/>
  </cols>
  <sheetData>
    <row r="1" spans="1:33" s="12" customFormat="1" ht="94.5" customHeight="1" thickBot="1">
      <c r="A1" s="2"/>
      <c r="B1" s="338"/>
      <c r="C1" s="336"/>
      <c r="D1" s="342"/>
      <c r="E1" s="344"/>
      <c r="F1" s="344"/>
      <c r="G1" s="344"/>
      <c r="H1" s="344"/>
      <c r="I1" s="344"/>
      <c r="J1" s="344"/>
      <c r="K1" s="344"/>
      <c r="L1" s="3"/>
      <c r="M1" s="4" t="s">
        <v>44</v>
      </c>
      <c r="N1" s="5"/>
      <c r="O1" s="6"/>
      <c r="P1" s="7"/>
      <c r="Q1" s="8"/>
      <c r="R1" s="9"/>
      <c r="S1" s="10"/>
      <c r="T1" s="10"/>
      <c r="U1" s="10"/>
      <c r="V1" s="11"/>
      <c r="AA1" s="392"/>
      <c r="AB1" s="392"/>
      <c r="AC1" s="392"/>
      <c r="AD1" s="392"/>
      <c r="AE1" s="392"/>
      <c r="AF1" s="392"/>
      <c r="AG1" s="392"/>
    </row>
    <row r="2" spans="1:33" ht="14.25" thickTop="1" thickBot="1">
      <c r="A2" s="13"/>
      <c r="B2" s="339"/>
      <c r="C2" s="337"/>
      <c r="D2" s="343"/>
      <c r="E2" s="343"/>
      <c r="F2" s="345"/>
      <c r="G2" s="345"/>
      <c r="H2" s="345"/>
      <c r="I2" s="345"/>
      <c r="J2" s="345"/>
      <c r="K2" s="345"/>
      <c r="L2" s="15"/>
      <c r="M2" s="25" t="s">
        <v>15</v>
      </c>
      <c r="N2" s="302" t="s">
        <v>211</v>
      </c>
      <c r="O2" s="25" t="s">
        <v>16</v>
      </c>
      <c r="P2" s="295" t="s">
        <v>212</v>
      </c>
      <c r="Q2" s="16"/>
      <c r="R2" s="17"/>
      <c r="S2" s="14"/>
      <c r="T2" s="14"/>
      <c r="U2" s="14"/>
      <c r="V2" s="18"/>
    </row>
    <row r="3" spans="1:33" ht="24.95" customHeight="1" thickTop="1" thickBot="1">
      <c r="A3" s="13"/>
      <c r="B3" s="339"/>
      <c r="C3" s="20"/>
      <c r="D3" s="21"/>
      <c r="E3" s="22"/>
      <c r="F3" s="22"/>
      <c r="G3" s="23"/>
      <c r="H3" s="23"/>
      <c r="I3" s="23"/>
      <c r="J3" s="24"/>
      <c r="K3" s="25" t="s">
        <v>45</v>
      </c>
      <c r="L3" s="381"/>
      <c r="M3" s="25" t="s">
        <v>17</v>
      </c>
      <c r="N3" s="382" t="s">
        <v>231</v>
      </c>
      <c r="O3" s="27" t="s">
        <v>50</v>
      </c>
      <c r="P3" s="391">
        <v>45138</v>
      </c>
      <c r="Q3" s="28"/>
      <c r="R3" s="17"/>
      <c r="S3" s="14"/>
      <c r="T3" s="14"/>
      <c r="U3" s="14"/>
      <c r="V3" s="18"/>
    </row>
    <row r="4" spans="1:33" ht="12.75" customHeight="1" thickTop="1" thickBot="1">
      <c r="A4" s="13"/>
      <c r="B4" s="339"/>
      <c r="C4" s="29" t="s">
        <v>47</v>
      </c>
      <c r="D4" s="30"/>
      <c r="E4" s="30"/>
      <c r="F4" s="30"/>
      <c r="G4" s="362" t="s">
        <v>208</v>
      </c>
      <c r="H4" s="31"/>
      <c r="I4" s="32"/>
      <c r="J4" s="32"/>
      <c r="K4" s="25" t="s">
        <v>39</v>
      </c>
      <c r="L4" s="26">
        <v>71</v>
      </c>
      <c r="M4" s="33" t="s">
        <v>18</v>
      </c>
      <c r="N4" s="34"/>
      <c r="O4" s="297" t="s">
        <v>19</v>
      </c>
      <c r="P4" s="35"/>
      <c r="Q4" s="36"/>
      <c r="R4" s="17"/>
      <c r="S4" s="14"/>
      <c r="T4" s="14"/>
      <c r="U4" s="14"/>
      <c r="V4" s="18"/>
    </row>
    <row r="5" spans="1:33" ht="12.75" customHeight="1" thickTop="1" thickBot="1">
      <c r="A5" s="13"/>
      <c r="B5" s="339"/>
      <c r="C5" s="29" t="s">
        <v>48</v>
      </c>
      <c r="D5" s="30"/>
      <c r="E5" s="30"/>
      <c r="F5" s="30"/>
      <c r="G5" s="363" t="s">
        <v>209</v>
      </c>
      <c r="H5" s="31"/>
      <c r="I5" s="32"/>
      <c r="J5" s="32"/>
      <c r="K5" s="25" t="s">
        <v>40</v>
      </c>
      <c r="L5" s="296" t="s">
        <v>210</v>
      </c>
      <c r="M5" s="298" t="s">
        <v>49</v>
      </c>
      <c r="N5" s="299" t="s">
        <v>218</v>
      </c>
      <c r="O5" s="298" t="s">
        <v>49</v>
      </c>
      <c r="P5" s="300" t="s">
        <v>220</v>
      </c>
      <c r="Q5" s="38"/>
      <c r="R5" s="17"/>
      <c r="S5" s="14"/>
      <c r="T5" s="14"/>
      <c r="U5" s="14"/>
      <c r="V5" s="18"/>
    </row>
    <row r="6" spans="1:33" ht="14.25" thickTop="1" thickBot="1">
      <c r="A6" s="39" t="s">
        <v>51</v>
      </c>
      <c r="B6" s="340"/>
      <c r="C6" s="41" t="s">
        <v>52</v>
      </c>
      <c r="D6" s="42"/>
      <c r="E6" s="43"/>
      <c r="F6" s="43"/>
      <c r="G6" s="364" t="s">
        <v>219</v>
      </c>
      <c r="H6" s="44"/>
      <c r="I6" s="45"/>
      <c r="J6" s="45"/>
      <c r="K6" s="25" t="s">
        <v>46</v>
      </c>
      <c r="L6" s="26">
        <v>2022</v>
      </c>
      <c r="M6" s="301" t="s">
        <v>20</v>
      </c>
      <c r="N6" s="318">
        <v>44854</v>
      </c>
      <c r="O6" s="37" t="s">
        <v>50</v>
      </c>
      <c r="P6" s="319">
        <v>44881</v>
      </c>
      <c r="Q6" s="46"/>
      <c r="R6" s="47" t="s">
        <v>51</v>
      </c>
      <c r="S6" s="14"/>
      <c r="T6" s="14"/>
      <c r="U6" s="14"/>
      <c r="V6" s="18"/>
    </row>
    <row r="7" spans="1:33" ht="30" customHeight="1" thickTop="1" thickBot="1">
      <c r="A7" s="39" t="s">
        <v>53</v>
      </c>
      <c r="B7" s="40"/>
      <c r="C7" s="48" t="s">
        <v>54</v>
      </c>
      <c r="D7" s="49"/>
      <c r="E7" s="50"/>
      <c r="F7" s="50"/>
      <c r="G7" s="51"/>
      <c r="H7" s="49"/>
      <c r="I7" s="50"/>
      <c r="J7" s="50"/>
      <c r="K7" s="50"/>
      <c r="L7" s="52"/>
      <c r="M7" s="51" t="s">
        <v>55</v>
      </c>
      <c r="N7" s="51"/>
      <c r="O7" s="53"/>
      <c r="P7" s="54"/>
      <c r="Q7" s="55"/>
      <c r="R7" s="47" t="s">
        <v>56</v>
      </c>
      <c r="S7" s="56" t="s">
        <v>57</v>
      </c>
      <c r="T7" s="57"/>
      <c r="U7" s="58"/>
      <c r="V7" s="57"/>
    </row>
    <row r="8" spans="1:33" ht="56.25" customHeight="1" thickTop="1" thickBot="1">
      <c r="A8" s="59" t="s">
        <v>58</v>
      </c>
      <c r="B8" s="60"/>
      <c r="C8" s="61" t="s">
        <v>59</v>
      </c>
      <c r="D8" s="62" t="s">
        <v>28</v>
      </c>
      <c r="E8" s="63" t="s">
        <v>60</v>
      </c>
      <c r="F8" s="64"/>
      <c r="G8" s="65"/>
      <c r="H8" s="66" t="s">
        <v>61</v>
      </c>
      <c r="I8" s="67" t="s">
        <v>62</v>
      </c>
      <c r="J8" s="68" t="s">
        <v>63</v>
      </c>
      <c r="K8" s="68" t="s">
        <v>64</v>
      </c>
      <c r="L8" s="67" t="s">
        <v>65</v>
      </c>
      <c r="M8" s="69" t="s">
        <v>66</v>
      </c>
      <c r="N8" s="70" t="s">
        <v>67</v>
      </c>
      <c r="O8" s="70" t="s">
        <v>68</v>
      </c>
      <c r="P8" s="71" t="s">
        <v>69</v>
      </c>
      <c r="Q8" s="72"/>
      <c r="R8" s="73" t="s">
        <v>58</v>
      </c>
      <c r="S8" s="74" t="s">
        <v>70</v>
      </c>
      <c r="T8" s="75" t="s">
        <v>71</v>
      </c>
      <c r="U8" s="76" t="s">
        <v>72</v>
      </c>
      <c r="V8" s="75" t="s">
        <v>73</v>
      </c>
      <c r="X8" s="67" t="s">
        <v>74</v>
      </c>
      <c r="Y8" s="68" t="s">
        <v>75</v>
      </c>
      <c r="AA8" s="395" t="s">
        <v>226</v>
      </c>
      <c r="AB8" s="395" t="s">
        <v>227</v>
      </c>
      <c r="AC8" s="395" t="s">
        <v>228</v>
      </c>
      <c r="AD8" s="395" t="s">
        <v>229</v>
      </c>
      <c r="AE8" s="395" t="s">
        <v>230</v>
      </c>
    </row>
    <row r="9" spans="1:33" ht="12.75" customHeight="1" thickTop="1" thickBot="1">
      <c r="A9" s="77"/>
      <c r="B9" s="256" t="s">
        <v>22</v>
      </c>
      <c r="C9" s="232">
        <v>1</v>
      </c>
      <c r="D9" s="1"/>
      <c r="E9" s="365" t="s">
        <v>29</v>
      </c>
      <c r="F9" s="233"/>
      <c r="G9" s="233"/>
      <c r="H9" s="284"/>
      <c r="I9" s="234"/>
      <c r="J9" s="235"/>
      <c r="K9" s="236">
        <f>IF(ISBLANK(total),0,IF((A9)="cima",ROUNDUP(O9/total,4),IF((A9)="baixo",ROUNDDOWN(O9/total,4),ROUND(O9/total,4))))</f>
        <v>0</v>
      </c>
      <c r="L9" s="237">
        <f>IF(I9=0,0,IF(J9&gt;100%,"excesso",IF(ISNUMBER(J9),ROUND(J9*K9,4),IF(J9="&lt;excesso",ROUND(100%*K9,4),0))))</f>
        <v>0</v>
      </c>
      <c r="M9" s="238"/>
      <c r="N9" s="239">
        <f>IF(J9&gt;100%,O9,IF(ISBLANK(I9),0,IF((R9)="cima",ROUNDUP(J9*O9,2),IF((R9)="baixo",ROUNDDOWN(J9*O9,2),ROUND(J9*O9,2)))))</f>
        <v>0</v>
      </c>
      <c r="O9" s="239">
        <f>IF((R9)="cima",ROUNDUP(I9*M9,2),IF((R9)="baixo",ROUNDDOWN(I9*M9,2),ROUND(I9*M9,2)))</f>
        <v>0</v>
      </c>
      <c r="P9" s="240">
        <f>O9-N9</f>
        <v>0</v>
      </c>
      <c r="Q9" s="79"/>
      <c r="R9" s="80"/>
      <c r="S9" s="249">
        <f>IF(ISBLANK(I9),0,S10+N9)</f>
        <v>0</v>
      </c>
      <c r="T9" s="250">
        <f>IF(ISBLANK(I9),S10,0)</f>
        <v>0</v>
      </c>
      <c r="U9" s="249">
        <f>IF(ISBLANK(I9),0,U10+O9)</f>
        <v>0</v>
      </c>
      <c r="V9" s="250">
        <f>IF(ISBLANK(I9),U10,0)</f>
        <v>0</v>
      </c>
      <c r="X9" s="78"/>
      <c r="Y9" s="81">
        <f>IF(I9=0,0,X9/I9)</f>
        <v>0</v>
      </c>
      <c r="AA9" s="394"/>
      <c r="AB9" s="394"/>
      <c r="AC9" s="394"/>
      <c r="AD9" s="394"/>
      <c r="AE9" s="394"/>
    </row>
    <row r="10" spans="1:33" ht="12.75" customHeight="1" thickBot="1">
      <c r="A10" s="77"/>
      <c r="B10" s="256" t="s">
        <v>22</v>
      </c>
      <c r="C10" s="241"/>
      <c r="D10" s="1" t="s">
        <v>121</v>
      </c>
      <c r="E10" s="233" t="s">
        <v>153</v>
      </c>
      <c r="F10" s="233"/>
      <c r="G10" s="233"/>
      <c r="H10" s="284" t="s">
        <v>9</v>
      </c>
      <c r="I10" s="234"/>
      <c r="J10" s="235">
        <f>Y10</f>
        <v>0</v>
      </c>
      <c r="K10" s="236">
        <f t="shared" ref="K10:K71" si="0">IF(ISBLANK(total),0,IF((A10)="cima",ROUNDUP(O10/total,4),IF((A10)="baixo",ROUNDDOWN(O10/total,4),ROUND(O10/total,4))))</f>
        <v>0</v>
      </c>
      <c r="L10" s="237">
        <f t="shared" ref="L10:L71" si="1">IF(I10=0,0,IF(J10&gt;100%,"excesso",IF(ISNUMBER(J10),ROUND(J10*K10,4),IF(J10="&lt;excesso",ROUND(100%*K10,4),0))))</f>
        <v>0</v>
      </c>
      <c r="M10" s="375">
        <v>2100</v>
      </c>
      <c r="N10" s="376">
        <f t="shared" ref="N10:N71" si="2">IF(J10&gt;100%,O10,IF(ISBLANK(I10),0,IF((R10)="cima",ROUNDUP(J10*O10,2),IF((R10)="baixo",ROUNDDOWN(J10*O10,2),ROUND(J10*O10,2)))))</f>
        <v>0</v>
      </c>
      <c r="O10" s="376">
        <f t="shared" ref="O10:O71" si="3">IF((R10)="cima",ROUNDUP(I10*M10,2),IF((R10)="baixo",ROUNDDOWN(I10*M10,2),ROUND(I10*M10,2)))</f>
        <v>0</v>
      </c>
      <c r="P10" s="377">
        <f t="shared" ref="P10:P71" si="4">O10-N10</f>
        <v>0</v>
      </c>
      <c r="Q10" s="79"/>
      <c r="R10" s="80"/>
      <c r="S10" s="249">
        <f t="shared" ref="S10:S71" si="5">IF(ISBLANK(I10),0,S11+N10)</f>
        <v>0</v>
      </c>
      <c r="T10" s="250">
        <f t="shared" ref="T10:T71" si="6">IF(ISBLANK(I10),S11,0)</f>
        <v>0</v>
      </c>
      <c r="U10" s="249">
        <f t="shared" ref="U10:U71" si="7">IF(ISBLANK(I10),0,U11+O10)</f>
        <v>0</v>
      </c>
      <c r="V10" s="250">
        <f t="shared" ref="V10:V71" si="8">IF(ISBLANK(I10),U11,0)</f>
        <v>0</v>
      </c>
      <c r="X10" s="78">
        <f t="shared" ref="X10:X17" si="9">X74+X138</f>
        <v>0</v>
      </c>
      <c r="Y10" s="81">
        <f t="shared" ref="Y10:Y71" si="10">IF(I10=0,0,X10/I10)</f>
        <v>0</v>
      </c>
      <c r="AA10" s="405">
        <f>AA74+AA138</f>
        <v>0</v>
      </c>
      <c r="AB10" s="406">
        <f t="shared" ref="AB10:AE10" si="11">AB74+AB138</f>
        <v>0</v>
      </c>
      <c r="AC10" s="406">
        <f t="shared" si="11"/>
        <v>0</v>
      </c>
      <c r="AD10" s="406">
        <f t="shared" si="11"/>
        <v>0</v>
      </c>
      <c r="AE10" s="407">
        <f t="shared" si="11"/>
        <v>0</v>
      </c>
    </row>
    <row r="11" spans="1:33" ht="12.75" customHeight="1" thickBot="1">
      <c r="A11" s="77"/>
      <c r="B11" s="256" t="s">
        <v>22</v>
      </c>
      <c r="C11" s="241">
        <v>2</v>
      </c>
      <c r="D11" s="1"/>
      <c r="E11" s="365" t="s">
        <v>27</v>
      </c>
      <c r="F11" s="233"/>
      <c r="G11" s="233"/>
      <c r="H11" s="284" t="s">
        <v>207</v>
      </c>
      <c r="I11" s="234"/>
      <c r="J11" s="235"/>
      <c r="K11" s="236">
        <f t="shared" si="0"/>
        <v>0</v>
      </c>
      <c r="L11" s="237">
        <f t="shared" si="1"/>
        <v>0</v>
      </c>
      <c r="M11" s="375"/>
      <c r="N11" s="376">
        <f t="shared" si="2"/>
        <v>0</v>
      </c>
      <c r="O11" s="376">
        <f t="shared" si="3"/>
        <v>0</v>
      </c>
      <c r="P11" s="377">
        <f t="shared" si="4"/>
        <v>0</v>
      </c>
      <c r="Q11" s="79"/>
      <c r="R11" s="80"/>
      <c r="S11" s="249">
        <f t="shared" si="5"/>
        <v>0</v>
      </c>
      <c r="T11" s="250">
        <f t="shared" si="6"/>
        <v>5724.9400000000005</v>
      </c>
      <c r="U11" s="249">
        <f t="shared" si="7"/>
        <v>0</v>
      </c>
      <c r="V11" s="250">
        <f t="shared" si="8"/>
        <v>5724.9400000000005</v>
      </c>
      <c r="X11" s="78"/>
      <c r="Y11" s="81">
        <f t="shared" si="10"/>
        <v>0</v>
      </c>
      <c r="AA11" s="394"/>
      <c r="AB11" s="394"/>
      <c r="AC11" s="394"/>
      <c r="AD11" s="394"/>
      <c r="AE11" s="394"/>
    </row>
    <row r="12" spans="1:33" ht="12.75" customHeight="1">
      <c r="A12" s="77"/>
      <c r="B12" s="256" t="s">
        <v>22</v>
      </c>
      <c r="C12" s="241"/>
      <c r="D12" s="1">
        <v>401950</v>
      </c>
      <c r="E12" s="233" t="s">
        <v>154</v>
      </c>
      <c r="F12" s="233"/>
      <c r="G12" s="233"/>
      <c r="H12" s="284" t="s">
        <v>12</v>
      </c>
      <c r="I12" s="234">
        <v>284.73</v>
      </c>
      <c r="J12" s="235">
        <f t="shared" ref="J12:J13" si="12">Y12</f>
        <v>1</v>
      </c>
      <c r="K12" s="236">
        <f t="shared" si="0"/>
        <v>1.1000000000000001E-3</v>
      </c>
      <c r="L12" s="237">
        <f t="shared" si="1"/>
        <v>1.1000000000000001E-3</v>
      </c>
      <c r="M12" s="375">
        <v>3.8</v>
      </c>
      <c r="N12" s="376">
        <f t="shared" si="2"/>
        <v>1081.98</v>
      </c>
      <c r="O12" s="376">
        <f t="shared" si="3"/>
        <v>1081.98</v>
      </c>
      <c r="P12" s="377">
        <f t="shared" si="4"/>
        <v>0</v>
      </c>
      <c r="Q12" s="79"/>
      <c r="R12" s="80" t="s">
        <v>217</v>
      </c>
      <c r="S12" s="249">
        <f t="shared" si="5"/>
        <v>5724.9400000000005</v>
      </c>
      <c r="T12" s="250">
        <f t="shared" si="6"/>
        <v>0</v>
      </c>
      <c r="U12" s="249">
        <f t="shared" si="7"/>
        <v>5724.9400000000005</v>
      </c>
      <c r="V12" s="250">
        <f t="shared" si="8"/>
        <v>0</v>
      </c>
      <c r="X12" s="78">
        <f t="shared" si="9"/>
        <v>284.73</v>
      </c>
      <c r="Y12" s="81">
        <f t="shared" si="10"/>
        <v>1</v>
      </c>
      <c r="Z12" s="385"/>
      <c r="AA12" s="397">
        <f t="shared" ref="AA12:AE71" si="13">AA76+AA140</f>
        <v>0</v>
      </c>
      <c r="AB12" s="398">
        <f t="shared" si="13"/>
        <v>0</v>
      </c>
      <c r="AC12" s="398">
        <f t="shared" si="13"/>
        <v>284.73</v>
      </c>
      <c r="AD12" s="398">
        <f t="shared" si="13"/>
        <v>0</v>
      </c>
      <c r="AE12" s="399">
        <f t="shared" si="13"/>
        <v>0</v>
      </c>
    </row>
    <row r="13" spans="1:33" ht="12.75" customHeight="1" thickBot="1">
      <c r="A13" s="77"/>
      <c r="B13" s="256" t="s">
        <v>22</v>
      </c>
      <c r="C13" s="241"/>
      <c r="D13" s="1">
        <v>520100</v>
      </c>
      <c r="E13" s="233" t="s">
        <v>155</v>
      </c>
      <c r="F13" s="233"/>
      <c r="G13" s="233"/>
      <c r="H13" s="284" t="s">
        <v>12</v>
      </c>
      <c r="I13" s="234">
        <v>1552.83</v>
      </c>
      <c r="J13" s="235">
        <f t="shared" si="12"/>
        <v>1.0000000000000002</v>
      </c>
      <c r="K13" s="236">
        <f t="shared" si="0"/>
        <v>4.7999999999999996E-3</v>
      </c>
      <c r="L13" s="237">
        <f t="shared" si="1"/>
        <v>4.7999999999999996E-3</v>
      </c>
      <c r="M13" s="375">
        <v>2.99</v>
      </c>
      <c r="N13" s="376">
        <f t="shared" si="2"/>
        <v>4642.96</v>
      </c>
      <c r="O13" s="376">
        <f t="shared" si="3"/>
        <v>4642.96</v>
      </c>
      <c r="P13" s="377">
        <f t="shared" si="4"/>
        <v>0</v>
      </c>
      <c r="Q13" s="79"/>
      <c r="R13" s="80"/>
      <c r="S13" s="249">
        <f t="shared" si="5"/>
        <v>4642.96</v>
      </c>
      <c r="T13" s="250">
        <f t="shared" si="6"/>
        <v>0</v>
      </c>
      <c r="U13" s="249">
        <f t="shared" si="7"/>
        <v>4642.96</v>
      </c>
      <c r="V13" s="250">
        <f t="shared" si="8"/>
        <v>0</v>
      </c>
      <c r="X13" s="78">
        <f t="shared" si="9"/>
        <v>1552.8300000000002</v>
      </c>
      <c r="Y13" s="81">
        <f t="shared" si="10"/>
        <v>1.0000000000000002</v>
      </c>
      <c r="Z13" s="385"/>
      <c r="AA13" s="402">
        <f t="shared" si="13"/>
        <v>0</v>
      </c>
      <c r="AB13" s="403">
        <f t="shared" si="13"/>
        <v>0</v>
      </c>
      <c r="AC13" s="403">
        <f t="shared" si="13"/>
        <v>1552.8300000000002</v>
      </c>
      <c r="AD13" s="403">
        <f t="shared" si="13"/>
        <v>0</v>
      </c>
      <c r="AE13" s="404">
        <f t="shared" si="13"/>
        <v>0</v>
      </c>
    </row>
    <row r="14" spans="1:33" ht="12.75" customHeight="1" thickBot="1">
      <c r="A14" s="77"/>
      <c r="B14" s="256" t="s">
        <v>22</v>
      </c>
      <c r="C14" s="241">
        <v>3</v>
      </c>
      <c r="D14" s="1"/>
      <c r="E14" s="365" t="s">
        <v>26</v>
      </c>
      <c r="F14" s="233"/>
      <c r="G14" s="233"/>
      <c r="H14" s="284" t="s">
        <v>207</v>
      </c>
      <c r="I14" s="234"/>
      <c r="J14" s="235"/>
      <c r="K14" s="236">
        <f t="shared" si="0"/>
        <v>0</v>
      </c>
      <c r="L14" s="237">
        <f t="shared" si="1"/>
        <v>0</v>
      </c>
      <c r="M14" s="375"/>
      <c r="N14" s="376">
        <f t="shared" si="2"/>
        <v>0</v>
      </c>
      <c r="O14" s="376">
        <f t="shared" si="3"/>
        <v>0</v>
      </c>
      <c r="P14" s="377">
        <f t="shared" si="4"/>
        <v>0</v>
      </c>
      <c r="Q14" s="79"/>
      <c r="R14" s="80"/>
      <c r="S14" s="249">
        <f t="shared" si="5"/>
        <v>0</v>
      </c>
      <c r="T14" s="250">
        <f t="shared" si="6"/>
        <v>211769.69</v>
      </c>
      <c r="U14" s="249">
        <f t="shared" si="7"/>
        <v>0</v>
      </c>
      <c r="V14" s="250">
        <f t="shared" si="8"/>
        <v>211769.69</v>
      </c>
      <c r="X14" s="78"/>
      <c r="Y14" s="81"/>
      <c r="Z14" s="385"/>
      <c r="AA14" s="394"/>
      <c r="AB14" s="394"/>
      <c r="AC14" s="394"/>
      <c r="AD14" s="394"/>
      <c r="AE14" s="394"/>
    </row>
    <row r="15" spans="1:33" ht="12.75" customHeight="1">
      <c r="A15" s="77"/>
      <c r="B15" s="256" t="s">
        <v>22</v>
      </c>
      <c r="C15" s="241"/>
      <c r="D15" s="1">
        <v>533100</v>
      </c>
      <c r="E15" s="233" t="s">
        <v>156</v>
      </c>
      <c r="F15" s="233"/>
      <c r="G15" s="233"/>
      <c r="H15" s="284" t="s">
        <v>12</v>
      </c>
      <c r="I15" s="234">
        <v>608.72015363343053</v>
      </c>
      <c r="J15" s="235">
        <f t="shared" ref="J15:J18" si="14">Y15</f>
        <v>1.0000000000000002</v>
      </c>
      <c r="K15" s="236">
        <f t="shared" si="0"/>
        <v>4.0599999999999997E-2</v>
      </c>
      <c r="L15" s="237">
        <f t="shared" si="1"/>
        <v>4.0599999999999997E-2</v>
      </c>
      <c r="M15" s="375">
        <v>65.09</v>
      </c>
      <c r="N15" s="376">
        <f t="shared" si="2"/>
        <v>39621.599999999999</v>
      </c>
      <c r="O15" s="376">
        <f t="shared" si="3"/>
        <v>39621.599999999999</v>
      </c>
      <c r="P15" s="377">
        <f t="shared" si="4"/>
        <v>0</v>
      </c>
      <c r="Q15" s="79"/>
      <c r="R15" s="80" t="s">
        <v>217</v>
      </c>
      <c r="S15" s="249">
        <f t="shared" si="5"/>
        <v>211769.69</v>
      </c>
      <c r="T15" s="250">
        <f t="shared" si="6"/>
        <v>0</v>
      </c>
      <c r="U15" s="249">
        <f t="shared" si="7"/>
        <v>211769.69</v>
      </c>
      <c r="V15" s="250">
        <f t="shared" si="8"/>
        <v>0</v>
      </c>
      <c r="X15" s="78">
        <f t="shared" si="9"/>
        <v>608.72015363343064</v>
      </c>
      <c r="Y15" s="81">
        <f t="shared" si="10"/>
        <v>1.0000000000000002</v>
      </c>
      <c r="Z15" s="385"/>
      <c r="AA15" s="397">
        <f t="shared" si="13"/>
        <v>0</v>
      </c>
      <c r="AB15" s="398">
        <f t="shared" si="13"/>
        <v>40.5</v>
      </c>
      <c r="AC15" s="398">
        <f t="shared" si="13"/>
        <v>568.22015363343064</v>
      </c>
      <c r="AD15" s="398">
        <f t="shared" si="13"/>
        <v>0</v>
      </c>
      <c r="AE15" s="399">
        <f t="shared" si="13"/>
        <v>0</v>
      </c>
    </row>
    <row r="16" spans="1:33" ht="12.75" customHeight="1">
      <c r="A16" s="77"/>
      <c r="B16" s="256" t="s">
        <v>22</v>
      </c>
      <c r="C16" s="241"/>
      <c r="D16" s="1">
        <v>511100</v>
      </c>
      <c r="E16" s="233" t="s">
        <v>157</v>
      </c>
      <c r="F16" s="233"/>
      <c r="G16" s="233"/>
      <c r="H16" s="284" t="s">
        <v>11</v>
      </c>
      <c r="I16" s="234">
        <v>2834.4400000000005</v>
      </c>
      <c r="J16" s="235">
        <f t="shared" si="14"/>
        <v>0.99999999999999989</v>
      </c>
      <c r="K16" s="236">
        <f t="shared" si="0"/>
        <v>8.8999999999999999E-3</v>
      </c>
      <c r="L16" s="237">
        <f t="shared" si="1"/>
        <v>8.8999999999999999E-3</v>
      </c>
      <c r="M16" s="375">
        <v>3.08</v>
      </c>
      <c r="N16" s="376">
        <f t="shared" si="2"/>
        <v>8730.08</v>
      </c>
      <c r="O16" s="376">
        <f t="shared" si="3"/>
        <v>8730.08</v>
      </c>
      <c r="P16" s="377">
        <f t="shared" si="4"/>
        <v>0</v>
      </c>
      <c r="Q16" s="79"/>
      <c r="R16" s="80"/>
      <c r="S16" s="249">
        <f t="shared" si="5"/>
        <v>172148.09</v>
      </c>
      <c r="T16" s="250">
        <f t="shared" si="6"/>
        <v>0</v>
      </c>
      <c r="U16" s="249">
        <f t="shared" si="7"/>
        <v>172148.09</v>
      </c>
      <c r="V16" s="250">
        <f t="shared" si="8"/>
        <v>0</v>
      </c>
      <c r="X16" s="78">
        <f t="shared" si="9"/>
        <v>2834.44</v>
      </c>
      <c r="Y16" s="81">
        <f t="shared" si="10"/>
        <v>0.99999999999999989</v>
      </c>
      <c r="Z16" s="385"/>
      <c r="AA16" s="400">
        <f t="shared" si="13"/>
        <v>0</v>
      </c>
      <c r="AB16" s="396">
        <f t="shared" si="13"/>
        <v>270</v>
      </c>
      <c r="AC16" s="396">
        <f t="shared" si="13"/>
        <v>2564.44</v>
      </c>
      <c r="AD16" s="396">
        <f t="shared" si="13"/>
        <v>0</v>
      </c>
      <c r="AE16" s="401">
        <f t="shared" si="13"/>
        <v>0</v>
      </c>
    </row>
    <row r="17" spans="1:31" ht="12.75" customHeight="1">
      <c r="A17" s="77"/>
      <c r="B17" s="256" t="s">
        <v>22</v>
      </c>
      <c r="C17" s="241"/>
      <c r="D17" s="1">
        <v>530200</v>
      </c>
      <c r="E17" s="233" t="s">
        <v>158</v>
      </c>
      <c r="F17" s="233"/>
      <c r="G17" s="233"/>
      <c r="H17" s="284" t="s">
        <v>12</v>
      </c>
      <c r="I17" s="234">
        <v>363.21990951064873</v>
      </c>
      <c r="J17" s="235">
        <f t="shared" si="14"/>
        <v>1</v>
      </c>
      <c r="K17" s="236">
        <f t="shared" si="0"/>
        <v>4.1099999999999998E-2</v>
      </c>
      <c r="L17" s="237">
        <f t="shared" si="1"/>
        <v>4.1099999999999998E-2</v>
      </c>
      <c r="M17" s="375">
        <v>110.51</v>
      </c>
      <c r="N17" s="376">
        <f t="shared" si="2"/>
        <v>40139.43</v>
      </c>
      <c r="O17" s="376">
        <f t="shared" si="3"/>
        <v>40139.43</v>
      </c>
      <c r="P17" s="377">
        <f t="shared" si="4"/>
        <v>0</v>
      </c>
      <c r="Q17" s="79"/>
      <c r="R17" s="80"/>
      <c r="S17" s="249">
        <f t="shared" si="5"/>
        <v>163418.01</v>
      </c>
      <c r="T17" s="250">
        <f t="shared" si="6"/>
        <v>0</v>
      </c>
      <c r="U17" s="249">
        <f t="shared" si="7"/>
        <v>163418.01</v>
      </c>
      <c r="V17" s="250">
        <f t="shared" si="8"/>
        <v>0</v>
      </c>
      <c r="X17" s="78">
        <f t="shared" si="9"/>
        <v>363.21990951064873</v>
      </c>
      <c r="Y17" s="81">
        <f t="shared" si="10"/>
        <v>1</v>
      </c>
      <c r="Z17" s="385"/>
      <c r="AA17" s="400">
        <f t="shared" si="13"/>
        <v>0</v>
      </c>
      <c r="AB17" s="396">
        <f t="shared" si="13"/>
        <v>4.2</v>
      </c>
      <c r="AC17" s="396">
        <f t="shared" si="13"/>
        <v>359.01990951064874</v>
      </c>
      <c r="AD17" s="396">
        <f t="shared" si="13"/>
        <v>0</v>
      </c>
      <c r="AE17" s="401">
        <f t="shared" si="13"/>
        <v>0</v>
      </c>
    </row>
    <row r="18" spans="1:31" ht="12.75" customHeight="1" thickBot="1">
      <c r="A18" s="77"/>
      <c r="B18" s="256" t="s">
        <v>22</v>
      </c>
      <c r="C18" s="241"/>
      <c r="D18" s="1">
        <v>531000</v>
      </c>
      <c r="E18" s="233" t="s">
        <v>159</v>
      </c>
      <c r="F18" s="233"/>
      <c r="G18" s="233"/>
      <c r="H18" s="284" t="s">
        <v>12</v>
      </c>
      <c r="I18" s="234">
        <v>973.38</v>
      </c>
      <c r="J18" s="235">
        <f t="shared" si="14"/>
        <v>1</v>
      </c>
      <c r="K18" s="236">
        <f t="shared" si="0"/>
        <v>0.1263</v>
      </c>
      <c r="L18" s="237">
        <f t="shared" si="1"/>
        <v>0.1263</v>
      </c>
      <c r="M18" s="375">
        <v>126.65</v>
      </c>
      <c r="N18" s="376">
        <f t="shared" si="2"/>
        <v>123278.58</v>
      </c>
      <c r="O18" s="376">
        <f t="shared" si="3"/>
        <v>123278.58</v>
      </c>
      <c r="P18" s="377">
        <f t="shared" si="4"/>
        <v>0</v>
      </c>
      <c r="Q18" s="79"/>
      <c r="R18" s="80"/>
      <c r="S18" s="249">
        <f t="shared" si="5"/>
        <v>123278.58</v>
      </c>
      <c r="T18" s="250">
        <f t="shared" si="6"/>
        <v>0</v>
      </c>
      <c r="U18" s="249">
        <f t="shared" si="7"/>
        <v>123278.58</v>
      </c>
      <c r="V18" s="250">
        <f t="shared" si="8"/>
        <v>0</v>
      </c>
      <c r="X18" s="78">
        <f t="shared" ref="X18:X71" si="15">X82+X146</f>
        <v>973.38</v>
      </c>
      <c r="Y18" s="81">
        <f t="shared" si="10"/>
        <v>1</v>
      </c>
      <c r="AA18" s="402">
        <f t="shared" si="13"/>
        <v>182.69992104224238</v>
      </c>
      <c r="AB18" s="403">
        <f t="shared" si="13"/>
        <v>379.97</v>
      </c>
      <c r="AC18" s="403">
        <f t="shared" si="13"/>
        <v>410.71007895775756</v>
      </c>
      <c r="AD18" s="403">
        <f t="shared" si="13"/>
        <v>0</v>
      </c>
      <c r="AE18" s="404">
        <f t="shared" si="13"/>
        <v>0</v>
      </c>
    </row>
    <row r="19" spans="1:31" ht="12.75" customHeight="1" thickBot="1">
      <c r="A19" s="77"/>
      <c r="B19" s="256" t="s">
        <v>22</v>
      </c>
      <c r="C19" s="241">
        <v>4</v>
      </c>
      <c r="D19" s="1"/>
      <c r="E19" s="365" t="s">
        <v>38</v>
      </c>
      <c r="F19" s="233"/>
      <c r="G19" s="233"/>
      <c r="H19" s="284" t="s">
        <v>207</v>
      </c>
      <c r="I19" s="234"/>
      <c r="J19" s="235"/>
      <c r="K19" s="236">
        <f t="shared" si="0"/>
        <v>0</v>
      </c>
      <c r="L19" s="237">
        <f t="shared" si="1"/>
        <v>0</v>
      </c>
      <c r="M19" s="375"/>
      <c r="N19" s="376">
        <f t="shared" si="2"/>
        <v>0</v>
      </c>
      <c r="O19" s="376">
        <f t="shared" si="3"/>
        <v>0</v>
      </c>
      <c r="P19" s="377">
        <f t="shared" si="4"/>
        <v>0</v>
      </c>
      <c r="Q19" s="79"/>
      <c r="R19" s="80"/>
      <c r="S19" s="249">
        <f t="shared" si="5"/>
        <v>0</v>
      </c>
      <c r="T19" s="250">
        <f t="shared" si="6"/>
        <v>329120.04000000004</v>
      </c>
      <c r="U19" s="249">
        <f t="shared" si="7"/>
        <v>0</v>
      </c>
      <c r="V19" s="250">
        <f t="shared" si="8"/>
        <v>349172.31000000006</v>
      </c>
      <c r="X19" s="78"/>
      <c r="Y19" s="81"/>
      <c r="AA19" s="394"/>
      <c r="AB19" s="394"/>
      <c r="AC19" s="394"/>
      <c r="AD19" s="394"/>
      <c r="AE19" s="394"/>
    </row>
    <row r="20" spans="1:31" ht="12.75" customHeight="1">
      <c r="A20" s="77"/>
      <c r="B20" s="256" t="s">
        <v>22</v>
      </c>
      <c r="C20" s="241"/>
      <c r="D20" s="1" t="s">
        <v>122</v>
      </c>
      <c r="E20" s="233" t="s">
        <v>160</v>
      </c>
      <c r="F20" s="233"/>
      <c r="G20" s="233"/>
      <c r="H20" s="284" t="s">
        <v>11</v>
      </c>
      <c r="I20" s="234">
        <v>5407.68</v>
      </c>
      <c r="J20" s="235">
        <f t="shared" ref="J20:J25" si="16">Y20</f>
        <v>1</v>
      </c>
      <c r="K20" s="236">
        <f t="shared" si="0"/>
        <v>1.5E-3</v>
      </c>
      <c r="L20" s="237">
        <f t="shared" si="1"/>
        <v>1.5E-3</v>
      </c>
      <c r="M20" s="375">
        <v>0.27</v>
      </c>
      <c r="N20" s="376">
        <f t="shared" si="2"/>
        <v>1460.07</v>
      </c>
      <c r="O20" s="376">
        <f t="shared" si="3"/>
        <v>1460.07</v>
      </c>
      <c r="P20" s="377">
        <f t="shared" si="4"/>
        <v>0</v>
      </c>
      <c r="Q20" s="79"/>
      <c r="R20" s="80"/>
      <c r="S20" s="249">
        <f t="shared" si="5"/>
        <v>329120.04000000004</v>
      </c>
      <c r="T20" s="250">
        <f t="shared" si="6"/>
        <v>0</v>
      </c>
      <c r="U20" s="249">
        <f t="shared" si="7"/>
        <v>349172.31000000006</v>
      </c>
      <c r="V20" s="250">
        <f t="shared" si="8"/>
        <v>0</v>
      </c>
      <c r="X20" s="78">
        <f t="shared" si="15"/>
        <v>5407.68</v>
      </c>
      <c r="Y20" s="81">
        <f t="shared" si="10"/>
        <v>1</v>
      </c>
      <c r="AA20" s="397">
        <f t="shared" si="13"/>
        <v>1014.9629629629629</v>
      </c>
      <c r="AB20" s="398">
        <f t="shared" si="13"/>
        <v>2110.9899999999998</v>
      </c>
      <c r="AC20" s="398">
        <f t="shared" si="13"/>
        <v>2281.727037037037</v>
      </c>
      <c r="AD20" s="398">
        <f t="shared" si="13"/>
        <v>0</v>
      </c>
      <c r="AE20" s="399">
        <f t="shared" si="13"/>
        <v>0</v>
      </c>
    </row>
    <row r="21" spans="1:31" ht="12.75" customHeight="1">
      <c r="A21" s="77"/>
      <c r="B21" s="256" t="s">
        <v>22</v>
      </c>
      <c r="C21" s="241"/>
      <c r="D21" s="1">
        <v>589190</v>
      </c>
      <c r="E21" s="233" t="s">
        <v>161</v>
      </c>
      <c r="F21" s="233"/>
      <c r="G21" s="233"/>
      <c r="H21" s="284" t="s">
        <v>114</v>
      </c>
      <c r="I21" s="234">
        <v>5.95</v>
      </c>
      <c r="J21" s="235">
        <f t="shared" si="16"/>
        <v>0.99159743865559025</v>
      </c>
      <c r="K21" s="236">
        <f t="shared" si="0"/>
        <v>2.5600000000000001E-2</v>
      </c>
      <c r="L21" s="237">
        <f t="shared" si="1"/>
        <v>2.5399999999999999E-2</v>
      </c>
      <c r="M21" s="375">
        <v>4201.68</v>
      </c>
      <c r="N21" s="376">
        <f t="shared" si="2"/>
        <v>24789.94</v>
      </c>
      <c r="O21" s="376">
        <f t="shared" si="3"/>
        <v>25000</v>
      </c>
      <c r="P21" s="377">
        <f t="shared" si="4"/>
        <v>210.06000000000131</v>
      </c>
      <c r="Q21" s="79"/>
      <c r="R21" s="80"/>
      <c r="S21" s="249">
        <f t="shared" si="5"/>
        <v>327659.97000000003</v>
      </c>
      <c r="T21" s="250">
        <f t="shared" si="6"/>
        <v>0</v>
      </c>
      <c r="U21" s="249">
        <f t="shared" si="7"/>
        <v>347712.24000000005</v>
      </c>
      <c r="V21" s="250">
        <f t="shared" si="8"/>
        <v>0</v>
      </c>
      <c r="X21" s="78">
        <f t="shared" si="15"/>
        <v>5.9000047600007619</v>
      </c>
      <c r="Y21" s="81">
        <f t="shared" si="10"/>
        <v>0.99159743865559025</v>
      </c>
      <c r="AA21" s="400">
        <f t="shared" si="13"/>
        <v>1.02</v>
      </c>
      <c r="AB21" s="396">
        <f t="shared" si="13"/>
        <v>2.1100023800003807</v>
      </c>
      <c r="AC21" s="396">
        <f t="shared" si="13"/>
        <v>2.7700023800003808</v>
      </c>
      <c r="AD21" s="396">
        <f t="shared" si="13"/>
        <v>0</v>
      </c>
      <c r="AE21" s="401">
        <f t="shared" si="13"/>
        <v>0</v>
      </c>
    </row>
    <row r="22" spans="1:31" ht="12.75" customHeight="1">
      <c r="A22" s="77"/>
      <c r="B22" s="256" t="s">
        <v>22</v>
      </c>
      <c r="C22" s="241"/>
      <c r="D22" s="1">
        <v>561100</v>
      </c>
      <c r="E22" s="233" t="s">
        <v>162</v>
      </c>
      <c r="F22" s="233"/>
      <c r="G22" s="233"/>
      <c r="H22" s="284" t="s">
        <v>11</v>
      </c>
      <c r="I22" s="234">
        <v>5407.68</v>
      </c>
      <c r="J22" s="235">
        <f t="shared" si="16"/>
        <v>1</v>
      </c>
      <c r="K22" s="236">
        <f t="shared" si="0"/>
        <v>1.6000000000000001E-3</v>
      </c>
      <c r="L22" s="237">
        <f t="shared" si="1"/>
        <v>1.6000000000000001E-3</v>
      </c>
      <c r="M22" s="375">
        <v>0.28000000000000003</v>
      </c>
      <c r="N22" s="376">
        <f t="shared" si="2"/>
        <v>1514.15</v>
      </c>
      <c r="O22" s="376">
        <f t="shared" si="3"/>
        <v>1514.15</v>
      </c>
      <c r="P22" s="377">
        <f t="shared" si="4"/>
        <v>0</v>
      </c>
      <c r="Q22" s="79"/>
      <c r="R22" s="80"/>
      <c r="S22" s="249">
        <f t="shared" si="5"/>
        <v>302870.03000000003</v>
      </c>
      <c r="T22" s="250">
        <f t="shared" si="6"/>
        <v>0</v>
      </c>
      <c r="U22" s="249">
        <f t="shared" si="7"/>
        <v>322712.24000000005</v>
      </c>
      <c r="V22" s="250">
        <f t="shared" si="8"/>
        <v>0</v>
      </c>
      <c r="X22" s="78">
        <f t="shared" si="15"/>
        <v>5407.68</v>
      </c>
      <c r="Y22" s="81">
        <f t="shared" si="10"/>
        <v>1</v>
      </c>
      <c r="AA22" s="400">
        <f t="shared" si="13"/>
        <v>1015</v>
      </c>
      <c r="AB22" s="396">
        <f t="shared" si="13"/>
        <v>2110.9899999999998</v>
      </c>
      <c r="AC22" s="396">
        <f t="shared" si="13"/>
        <v>2281.69</v>
      </c>
      <c r="AD22" s="396">
        <f t="shared" si="13"/>
        <v>0</v>
      </c>
      <c r="AE22" s="401">
        <f t="shared" si="13"/>
        <v>0</v>
      </c>
    </row>
    <row r="23" spans="1:31" ht="12.75" customHeight="1">
      <c r="A23" s="77"/>
      <c r="B23" s="256" t="s">
        <v>22</v>
      </c>
      <c r="C23" s="241"/>
      <c r="D23" s="1" t="s">
        <v>123</v>
      </c>
      <c r="E23" s="233" t="s">
        <v>163</v>
      </c>
      <c r="F23" s="233"/>
      <c r="G23" s="233"/>
      <c r="H23" s="284" t="s">
        <v>114</v>
      </c>
      <c r="I23" s="234">
        <v>2.71</v>
      </c>
      <c r="J23" s="235">
        <f t="shared" si="16"/>
        <v>0.98154981549815501</v>
      </c>
      <c r="K23" s="236">
        <f t="shared" si="0"/>
        <v>0.01</v>
      </c>
      <c r="L23" s="237">
        <f t="shared" si="1"/>
        <v>9.7999999999999997E-3</v>
      </c>
      <c r="M23" s="375">
        <v>3616.24</v>
      </c>
      <c r="N23" s="376">
        <f t="shared" si="2"/>
        <v>9619.2000000000007</v>
      </c>
      <c r="O23" s="376">
        <f t="shared" si="3"/>
        <v>9800.01</v>
      </c>
      <c r="P23" s="377">
        <f t="shared" si="4"/>
        <v>180.80999999999949</v>
      </c>
      <c r="Q23" s="79"/>
      <c r="R23" s="80"/>
      <c r="S23" s="249">
        <f t="shared" si="5"/>
        <v>301355.88</v>
      </c>
      <c r="T23" s="250">
        <f t="shared" si="6"/>
        <v>0</v>
      </c>
      <c r="U23" s="249">
        <f t="shared" si="7"/>
        <v>321198.09000000003</v>
      </c>
      <c r="V23" s="250">
        <f t="shared" si="8"/>
        <v>0</v>
      </c>
      <c r="X23" s="78">
        <f t="shared" si="15"/>
        <v>2.66</v>
      </c>
      <c r="Y23" s="81">
        <f t="shared" si="10"/>
        <v>0.98154981549815501</v>
      </c>
      <c r="AA23" s="400">
        <f t="shared" si="13"/>
        <v>0.51</v>
      </c>
      <c r="AB23" s="396">
        <f t="shared" si="13"/>
        <v>1.05</v>
      </c>
      <c r="AC23" s="396">
        <f t="shared" si="13"/>
        <v>1.1000000000000001</v>
      </c>
      <c r="AD23" s="396">
        <f t="shared" si="13"/>
        <v>0</v>
      </c>
      <c r="AE23" s="401">
        <f t="shared" si="13"/>
        <v>0</v>
      </c>
    </row>
    <row r="24" spans="1:31" ht="12.75" customHeight="1">
      <c r="A24" s="77"/>
      <c r="B24" s="256" t="s">
        <v>22</v>
      </c>
      <c r="C24" s="241"/>
      <c r="D24" s="1">
        <v>570000</v>
      </c>
      <c r="E24" s="233" t="s">
        <v>164</v>
      </c>
      <c r="F24" s="233"/>
      <c r="G24" s="233"/>
      <c r="H24" s="284" t="s">
        <v>114</v>
      </c>
      <c r="I24" s="234">
        <v>648.91</v>
      </c>
      <c r="J24" s="235">
        <f t="shared" si="16"/>
        <v>0.9875791712255938</v>
      </c>
      <c r="K24" s="236">
        <f t="shared" si="0"/>
        <v>0.1244</v>
      </c>
      <c r="L24" s="237">
        <f t="shared" si="1"/>
        <v>0.1229</v>
      </c>
      <c r="M24" s="375">
        <v>187.08</v>
      </c>
      <c r="N24" s="376">
        <f t="shared" si="2"/>
        <v>119890.22</v>
      </c>
      <c r="O24" s="376">
        <f t="shared" si="3"/>
        <v>121398.08</v>
      </c>
      <c r="P24" s="377">
        <f t="shared" si="4"/>
        <v>1507.8600000000006</v>
      </c>
      <c r="Q24" s="79"/>
      <c r="R24" s="80"/>
      <c r="S24" s="249">
        <f t="shared" si="5"/>
        <v>291736.68</v>
      </c>
      <c r="T24" s="250">
        <f t="shared" si="6"/>
        <v>0</v>
      </c>
      <c r="U24" s="249">
        <f t="shared" si="7"/>
        <v>311398.08</v>
      </c>
      <c r="V24" s="250">
        <f t="shared" si="8"/>
        <v>0</v>
      </c>
      <c r="X24" s="78">
        <f t="shared" si="15"/>
        <v>640.85</v>
      </c>
      <c r="Y24" s="81">
        <f t="shared" si="10"/>
        <v>0.9875791712255938</v>
      </c>
      <c r="AA24" s="400">
        <f t="shared" si="13"/>
        <v>121.8</v>
      </c>
      <c r="AB24" s="396">
        <f t="shared" si="13"/>
        <v>253.32</v>
      </c>
      <c r="AC24" s="396">
        <f t="shared" si="13"/>
        <v>265.73</v>
      </c>
      <c r="AD24" s="396">
        <f t="shared" si="13"/>
        <v>0</v>
      </c>
      <c r="AE24" s="401">
        <f t="shared" si="13"/>
        <v>0</v>
      </c>
    </row>
    <row r="25" spans="1:31" ht="12.75" customHeight="1" thickBot="1">
      <c r="A25" s="77"/>
      <c r="B25" s="256" t="s">
        <v>22</v>
      </c>
      <c r="C25" s="241"/>
      <c r="D25" s="1" t="s">
        <v>124</v>
      </c>
      <c r="E25" s="233" t="s">
        <v>165</v>
      </c>
      <c r="F25" s="233"/>
      <c r="G25" s="233"/>
      <c r="H25" s="284" t="s">
        <v>114</v>
      </c>
      <c r="I25" s="234">
        <v>35.69</v>
      </c>
      <c r="J25" s="235">
        <f t="shared" si="16"/>
        <v>0.90445502942000566</v>
      </c>
      <c r="K25" s="236">
        <f t="shared" si="0"/>
        <v>0.19470000000000001</v>
      </c>
      <c r="L25" s="237">
        <f t="shared" si="1"/>
        <v>0.17610000000000001</v>
      </c>
      <c r="M25" s="375">
        <v>5323.62</v>
      </c>
      <c r="N25" s="376">
        <f t="shared" si="2"/>
        <v>171846.46</v>
      </c>
      <c r="O25" s="376">
        <f t="shared" si="3"/>
        <v>190000</v>
      </c>
      <c r="P25" s="377">
        <f t="shared" si="4"/>
        <v>18153.540000000008</v>
      </c>
      <c r="Q25" s="79"/>
      <c r="R25" s="80"/>
      <c r="S25" s="249">
        <f t="shared" si="5"/>
        <v>171846.46</v>
      </c>
      <c r="T25" s="250">
        <f t="shared" si="6"/>
        <v>0</v>
      </c>
      <c r="U25" s="249">
        <f t="shared" si="7"/>
        <v>190000</v>
      </c>
      <c r="V25" s="250">
        <f t="shared" si="8"/>
        <v>0</v>
      </c>
      <c r="X25" s="78">
        <f t="shared" si="15"/>
        <v>32.28</v>
      </c>
      <c r="Y25" s="81">
        <f t="shared" si="10"/>
        <v>0.90445502942000566</v>
      </c>
      <c r="AA25" s="402">
        <f t="shared" si="13"/>
        <v>6.16</v>
      </c>
      <c r="AB25" s="403">
        <f t="shared" si="13"/>
        <v>12.97</v>
      </c>
      <c r="AC25" s="403">
        <f t="shared" si="13"/>
        <v>13.15</v>
      </c>
      <c r="AD25" s="403">
        <f t="shared" si="13"/>
        <v>0</v>
      </c>
      <c r="AE25" s="404">
        <f t="shared" si="13"/>
        <v>0</v>
      </c>
    </row>
    <row r="26" spans="1:31" ht="12.75" customHeight="1" thickBot="1">
      <c r="A26" s="77"/>
      <c r="B26" s="256" t="s">
        <v>22</v>
      </c>
      <c r="C26" s="241">
        <v>5</v>
      </c>
      <c r="D26" s="1"/>
      <c r="E26" s="365" t="s">
        <v>37</v>
      </c>
      <c r="F26" s="233"/>
      <c r="G26" s="233"/>
      <c r="H26" s="284" t="s">
        <v>207</v>
      </c>
      <c r="I26" s="234"/>
      <c r="J26" s="235"/>
      <c r="K26" s="236">
        <f t="shared" si="0"/>
        <v>0</v>
      </c>
      <c r="L26" s="237">
        <f t="shared" si="1"/>
        <v>0</v>
      </c>
      <c r="M26" s="375"/>
      <c r="N26" s="376">
        <f t="shared" si="2"/>
        <v>0</v>
      </c>
      <c r="O26" s="376">
        <f t="shared" si="3"/>
        <v>0</v>
      </c>
      <c r="P26" s="377">
        <f t="shared" si="4"/>
        <v>0</v>
      </c>
      <c r="Q26" s="79"/>
      <c r="R26" s="80"/>
      <c r="S26" s="249">
        <f t="shared" si="5"/>
        <v>0</v>
      </c>
      <c r="T26" s="250">
        <f t="shared" si="6"/>
        <v>59103.69</v>
      </c>
      <c r="U26" s="249">
        <f t="shared" si="7"/>
        <v>0</v>
      </c>
      <c r="V26" s="250">
        <f t="shared" si="8"/>
        <v>59103.69</v>
      </c>
      <c r="X26" s="78"/>
      <c r="Y26" s="81"/>
      <c r="AA26" s="394"/>
      <c r="AB26" s="394"/>
      <c r="AC26" s="394"/>
      <c r="AD26" s="394"/>
      <c r="AE26" s="394"/>
    </row>
    <row r="27" spans="1:31" ht="12.75" customHeight="1">
      <c r="A27" s="77"/>
      <c r="B27" s="256" t="s">
        <v>22</v>
      </c>
      <c r="C27" s="241"/>
      <c r="D27" s="1">
        <v>810150</v>
      </c>
      <c r="E27" s="233" t="s">
        <v>166</v>
      </c>
      <c r="F27" s="233"/>
      <c r="G27" s="233"/>
      <c r="H27" s="284" t="s">
        <v>13</v>
      </c>
      <c r="I27" s="234">
        <v>1296</v>
      </c>
      <c r="J27" s="235">
        <f t="shared" ref="J27:J28" si="17">Y27</f>
        <v>1</v>
      </c>
      <c r="K27" s="236">
        <f t="shared" si="0"/>
        <v>5.5300000000000002E-2</v>
      </c>
      <c r="L27" s="237">
        <f t="shared" si="1"/>
        <v>5.5300000000000002E-2</v>
      </c>
      <c r="M27" s="375">
        <v>41.67</v>
      </c>
      <c r="N27" s="376">
        <f t="shared" si="2"/>
        <v>54004.32</v>
      </c>
      <c r="O27" s="376">
        <f t="shared" si="3"/>
        <v>54004.32</v>
      </c>
      <c r="P27" s="377">
        <f t="shared" si="4"/>
        <v>0</v>
      </c>
      <c r="Q27" s="79"/>
      <c r="R27" s="80"/>
      <c r="S27" s="249">
        <f t="shared" si="5"/>
        <v>59103.69</v>
      </c>
      <c r="T27" s="250">
        <f t="shared" si="6"/>
        <v>0</v>
      </c>
      <c r="U27" s="249">
        <f t="shared" si="7"/>
        <v>59103.69</v>
      </c>
      <c r="V27" s="250">
        <f t="shared" si="8"/>
        <v>0</v>
      </c>
      <c r="X27" s="78">
        <f t="shared" si="15"/>
        <v>1296</v>
      </c>
      <c r="Y27" s="81">
        <f t="shared" si="10"/>
        <v>1</v>
      </c>
      <c r="AA27" s="397">
        <f t="shared" si="13"/>
        <v>650</v>
      </c>
      <c r="AB27" s="398">
        <f t="shared" si="13"/>
        <v>125</v>
      </c>
      <c r="AC27" s="398">
        <f t="shared" si="13"/>
        <v>521</v>
      </c>
      <c r="AD27" s="398">
        <f t="shared" si="13"/>
        <v>0</v>
      </c>
      <c r="AE27" s="399">
        <f t="shared" si="13"/>
        <v>0</v>
      </c>
    </row>
    <row r="28" spans="1:31" ht="12.75" customHeight="1" thickBot="1">
      <c r="A28" s="77"/>
      <c r="B28" s="256" t="s">
        <v>22</v>
      </c>
      <c r="C28" s="241"/>
      <c r="D28" s="1">
        <v>810650</v>
      </c>
      <c r="E28" s="233" t="s">
        <v>167</v>
      </c>
      <c r="F28" s="233"/>
      <c r="G28" s="233"/>
      <c r="H28" s="284" t="s">
        <v>13</v>
      </c>
      <c r="I28" s="234">
        <v>129</v>
      </c>
      <c r="J28" s="235">
        <f t="shared" si="17"/>
        <v>1</v>
      </c>
      <c r="K28" s="236">
        <f t="shared" si="0"/>
        <v>5.1999999999999998E-3</v>
      </c>
      <c r="L28" s="237">
        <f t="shared" si="1"/>
        <v>5.1999999999999998E-3</v>
      </c>
      <c r="M28" s="375">
        <v>39.53</v>
      </c>
      <c r="N28" s="376">
        <f t="shared" si="2"/>
        <v>5099.37</v>
      </c>
      <c r="O28" s="376">
        <f t="shared" si="3"/>
        <v>5099.37</v>
      </c>
      <c r="P28" s="377">
        <f t="shared" si="4"/>
        <v>0</v>
      </c>
      <c r="Q28" s="79"/>
      <c r="R28" s="80"/>
      <c r="S28" s="249">
        <f t="shared" si="5"/>
        <v>5099.37</v>
      </c>
      <c r="T28" s="250">
        <f t="shared" si="6"/>
        <v>0</v>
      </c>
      <c r="U28" s="249">
        <f t="shared" si="7"/>
        <v>5099.37</v>
      </c>
      <c r="V28" s="250">
        <f t="shared" si="8"/>
        <v>0</v>
      </c>
      <c r="X28" s="78">
        <f t="shared" si="15"/>
        <v>129</v>
      </c>
      <c r="Y28" s="81">
        <f t="shared" si="10"/>
        <v>1</v>
      </c>
      <c r="AA28" s="402">
        <f t="shared" si="13"/>
        <v>45</v>
      </c>
      <c r="AB28" s="403">
        <f t="shared" si="13"/>
        <v>14</v>
      </c>
      <c r="AC28" s="403">
        <f t="shared" si="13"/>
        <v>70</v>
      </c>
      <c r="AD28" s="403">
        <f t="shared" si="13"/>
        <v>0</v>
      </c>
      <c r="AE28" s="404">
        <f t="shared" si="13"/>
        <v>0</v>
      </c>
    </row>
    <row r="29" spans="1:31" ht="12.75" customHeight="1" thickBot="1">
      <c r="A29" s="77"/>
      <c r="B29" s="256" t="s">
        <v>22</v>
      </c>
      <c r="C29" s="241">
        <v>6</v>
      </c>
      <c r="D29" s="1"/>
      <c r="E29" s="365" t="s">
        <v>168</v>
      </c>
      <c r="F29" s="233"/>
      <c r="G29" s="233"/>
      <c r="H29" s="284" t="s">
        <v>207</v>
      </c>
      <c r="I29" s="234"/>
      <c r="J29" s="235"/>
      <c r="K29" s="236">
        <f t="shared" si="0"/>
        <v>0</v>
      </c>
      <c r="L29" s="237">
        <f t="shared" si="1"/>
        <v>0</v>
      </c>
      <c r="M29" s="375"/>
      <c r="N29" s="376">
        <f t="shared" si="2"/>
        <v>0</v>
      </c>
      <c r="O29" s="376">
        <f t="shared" si="3"/>
        <v>0</v>
      </c>
      <c r="P29" s="377">
        <f t="shared" si="4"/>
        <v>0</v>
      </c>
      <c r="Q29" s="79"/>
      <c r="R29" s="80"/>
      <c r="S29" s="249">
        <f t="shared" si="5"/>
        <v>0</v>
      </c>
      <c r="T29" s="250">
        <f t="shared" si="6"/>
        <v>152175.04999999999</v>
      </c>
      <c r="U29" s="249">
        <f t="shared" si="7"/>
        <v>0</v>
      </c>
      <c r="V29" s="250">
        <f t="shared" si="8"/>
        <v>152175.04999999999</v>
      </c>
      <c r="X29" s="78"/>
      <c r="Y29" s="81"/>
      <c r="AA29" s="394"/>
      <c r="AB29" s="394"/>
      <c r="AC29" s="394"/>
      <c r="AD29" s="394"/>
      <c r="AE29" s="394"/>
    </row>
    <row r="30" spans="1:31" ht="12.75" customHeight="1">
      <c r="A30" s="77"/>
      <c r="B30" s="256" t="s">
        <v>22</v>
      </c>
      <c r="C30" s="241"/>
      <c r="D30" s="1" t="s">
        <v>125</v>
      </c>
      <c r="E30" s="233" t="s">
        <v>169</v>
      </c>
      <c r="F30" s="233"/>
      <c r="G30" s="233"/>
      <c r="H30" s="284" t="s">
        <v>13</v>
      </c>
      <c r="I30" s="234">
        <v>1243.1600000000001</v>
      </c>
      <c r="J30" s="235">
        <f t="shared" ref="J30:J39" si="18">Y30</f>
        <v>1</v>
      </c>
      <c r="K30" s="236">
        <f t="shared" si="0"/>
        <v>1.67E-2</v>
      </c>
      <c r="L30" s="237">
        <f t="shared" si="1"/>
        <v>1.67E-2</v>
      </c>
      <c r="M30" s="375">
        <v>13.11</v>
      </c>
      <c r="N30" s="376">
        <f t="shared" si="2"/>
        <v>16297.83</v>
      </c>
      <c r="O30" s="376">
        <f t="shared" si="3"/>
        <v>16297.83</v>
      </c>
      <c r="P30" s="377">
        <f t="shared" si="4"/>
        <v>0</v>
      </c>
      <c r="Q30" s="79"/>
      <c r="R30" s="80"/>
      <c r="S30" s="249">
        <f t="shared" si="5"/>
        <v>152175.04999999999</v>
      </c>
      <c r="T30" s="250">
        <f t="shared" si="6"/>
        <v>0</v>
      </c>
      <c r="U30" s="249">
        <f t="shared" si="7"/>
        <v>152175.04999999999</v>
      </c>
      <c r="V30" s="250">
        <f t="shared" si="8"/>
        <v>0</v>
      </c>
      <c r="X30" s="78">
        <f t="shared" si="15"/>
        <v>1243.1600000000001</v>
      </c>
      <c r="Y30" s="81">
        <f t="shared" si="10"/>
        <v>1</v>
      </c>
      <c r="AA30" s="397">
        <f t="shared" si="13"/>
        <v>290</v>
      </c>
      <c r="AB30" s="398">
        <f t="shared" si="13"/>
        <v>280.99923722349354</v>
      </c>
      <c r="AC30" s="398">
        <f t="shared" si="13"/>
        <v>672.16076277650654</v>
      </c>
      <c r="AD30" s="398">
        <f t="shared" si="13"/>
        <v>0</v>
      </c>
      <c r="AE30" s="399">
        <f t="shared" si="13"/>
        <v>0</v>
      </c>
    </row>
    <row r="31" spans="1:31" ht="12.75" customHeight="1">
      <c r="A31" s="77"/>
      <c r="B31" s="256" t="s">
        <v>22</v>
      </c>
      <c r="C31" s="241"/>
      <c r="D31" s="1">
        <v>511000</v>
      </c>
      <c r="E31" s="233" t="s">
        <v>170</v>
      </c>
      <c r="F31" s="233"/>
      <c r="G31" s="233"/>
      <c r="H31" s="284" t="s">
        <v>11</v>
      </c>
      <c r="I31" s="234">
        <v>1927.71</v>
      </c>
      <c r="J31" s="235">
        <f t="shared" si="18"/>
        <v>1</v>
      </c>
      <c r="K31" s="236">
        <f t="shared" si="0"/>
        <v>4.5999999999999999E-3</v>
      </c>
      <c r="L31" s="237">
        <f t="shared" si="1"/>
        <v>4.5999999999999999E-3</v>
      </c>
      <c r="M31" s="375">
        <v>2.33</v>
      </c>
      <c r="N31" s="376">
        <f t="shared" si="2"/>
        <v>4491.5600000000004</v>
      </c>
      <c r="O31" s="376">
        <f t="shared" si="3"/>
        <v>4491.5600000000004</v>
      </c>
      <c r="P31" s="377">
        <f t="shared" si="4"/>
        <v>0</v>
      </c>
      <c r="Q31" s="79"/>
      <c r="R31" s="80"/>
      <c r="S31" s="249">
        <f t="shared" si="5"/>
        <v>135877.22</v>
      </c>
      <c r="T31" s="250">
        <f t="shared" si="6"/>
        <v>0</v>
      </c>
      <c r="U31" s="249">
        <f t="shared" si="7"/>
        <v>135877.22</v>
      </c>
      <c r="V31" s="250">
        <f t="shared" si="8"/>
        <v>0</v>
      </c>
      <c r="X31" s="78">
        <f t="shared" si="15"/>
        <v>1927.71</v>
      </c>
      <c r="Y31" s="81">
        <f t="shared" si="10"/>
        <v>1</v>
      </c>
      <c r="AA31" s="400">
        <f t="shared" si="13"/>
        <v>390</v>
      </c>
      <c r="AB31" s="396">
        <f t="shared" si="13"/>
        <v>777.96</v>
      </c>
      <c r="AC31" s="396">
        <f t="shared" si="13"/>
        <v>759.75</v>
      </c>
      <c r="AD31" s="396">
        <f t="shared" si="13"/>
        <v>0</v>
      </c>
      <c r="AE31" s="401">
        <f t="shared" si="13"/>
        <v>0</v>
      </c>
    </row>
    <row r="32" spans="1:31" ht="12.75" customHeight="1">
      <c r="A32" s="77"/>
      <c r="B32" s="256" t="s">
        <v>22</v>
      </c>
      <c r="C32" s="241"/>
      <c r="D32" s="1">
        <v>530200</v>
      </c>
      <c r="E32" s="233" t="s">
        <v>171</v>
      </c>
      <c r="F32" s="233"/>
      <c r="G32" s="233"/>
      <c r="H32" s="284" t="s">
        <v>12</v>
      </c>
      <c r="I32" s="234">
        <v>41.96</v>
      </c>
      <c r="J32" s="235">
        <f t="shared" si="18"/>
        <v>1</v>
      </c>
      <c r="K32" s="236">
        <f t="shared" si="0"/>
        <v>4.1000000000000003E-3</v>
      </c>
      <c r="L32" s="237">
        <f t="shared" si="1"/>
        <v>4.1000000000000003E-3</v>
      </c>
      <c r="M32" s="375">
        <v>95.81</v>
      </c>
      <c r="N32" s="376">
        <f t="shared" si="2"/>
        <v>4020.19</v>
      </c>
      <c r="O32" s="376">
        <f t="shared" si="3"/>
        <v>4020.19</v>
      </c>
      <c r="P32" s="377">
        <f t="shared" si="4"/>
        <v>0</v>
      </c>
      <c r="Q32" s="79"/>
      <c r="R32" s="80"/>
      <c r="S32" s="249">
        <f t="shared" si="5"/>
        <v>131385.66</v>
      </c>
      <c r="T32" s="250">
        <f t="shared" si="6"/>
        <v>0</v>
      </c>
      <c r="U32" s="249">
        <f t="shared" si="7"/>
        <v>131385.66</v>
      </c>
      <c r="V32" s="250">
        <f t="shared" si="8"/>
        <v>0</v>
      </c>
      <c r="X32" s="78">
        <f t="shared" si="15"/>
        <v>41.96</v>
      </c>
      <c r="Y32" s="81">
        <f t="shared" si="10"/>
        <v>1</v>
      </c>
      <c r="AA32" s="400">
        <f t="shared" si="13"/>
        <v>7</v>
      </c>
      <c r="AB32" s="396">
        <f t="shared" si="13"/>
        <v>5</v>
      </c>
      <c r="AC32" s="396">
        <f t="shared" si="13"/>
        <v>29.96</v>
      </c>
      <c r="AD32" s="396">
        <f t="shared" si="13"/>
        <v>0</v>
      </c>
      <c r="AE32" s="401">
        <f t="shared" si="13"/>
        <v>0</v>
      </c>
    </row>
    <row r="33" spans="1:33" s="82" customFormat="1" ht="12.75" customHeight="1">
      <c r="A33" s="77"/>
      <c r="B33" s="256" t="s">
        <v>22</v>
      </c>
      <c r="C33" s="241"/>
      <c r="D33" s="254" t="s">
        <v>126</v>
      </c>
      <c r="E33" s="233" t="s">
        <v>172</v>
      </c>
      <c r="F33" s="233"/>
      <c r="G33" s="233"/>
      <c r="H33" s="284" t="s">
        <v>12</v>
      </c>
      <c r="I33" s="234">
        <v>193.61</v>
      </c>
      <c r="J33" s="235">
        <f t="shared" si="18"/>
        <v>1</v>
      </c>
      <c r="K33" s="236">
        <f t="shared" si="0"/>
        <v>2.3800000000000002E-2</v>
      </c>
      <c r="L33" s="237">
        <f t="shared" si="1"/>
        <v>2.3800000000000002E-2</v>
      </c>
      <c r="M33" s="375">
        <v>119.83</v>
      </c>
      <c r="N33" s="376">
        <f t="shared" si="2"/>
        <v>23200.29</v>
      </c>
      <c r="O33" s="376">
        <f t="shared" si="3"/>
        <v>23200.29</v>
      </c>
      <c r="P33" s="377">
        <f t="shared" si="4"/>
        <v>0</v>
      </c>
      <c r="Q33" s="79"/>
      <c r="R33" s="80"/>
      <c r="S33" s="249">
        <f t="shared" si="5"/>
        <v>127365.47</v>
      </c>
      <c r="T33" s="250">
        <f t="shared" si="6"/>
        <v>0</v>
      </c>
      <c r="U33" s="249">
        <f t="shared" si="7"/>
        <v>127365.47</v>
      </c>
      <c r="V33" s="250">
        <f t="shared" si="8"/>
        <v>0</v>
      </c>
      <c r="X33" s="78">
        <f t="shared" si="15"/>
        <v>193.61</v>
      </c>
      <c r="Y33" s="81">
        <f t="shared" si="10"/>
        <v>1</v>
      </c>
      <c r="Z33" s="19"/>
      <c r="AA33" s="400">
        <f t="shared" si="13"/>
        <v>0</v>
      </c>
      <c r="AB33" s="396">
        <f t="shared" si="13"/>
        <v>45</v>
      </c>
      <c r="AC33" s="396">
        <f t="shared" si="13"/>
        <v>148.61000000000001</v>
      </c>
      <c r="AD33" s="396">
        <f t="shared" si="13"/>
        <v>0</v>
      </c>
      <c r="AE33" s="401">
        <f t="shared" si="13"/>
        <v>0</v>
      </c>
      <c r="AF33" s="393"/>
      <c r="AG33" s="393"/>
    </row>
    <row r="34" spans="1:33" ht="12.75" customHeight="1">
      <c r="A34" s="77"/>
      <c r="B34" s="256" t="s">
        <v>22</v>
      </c>
      <c r="C34" s="241"/>
      <c r="D34" s="254" t="s">
        <v>127</v>
      </c>
      <c r="E34" s="233" t="s">
        <v>162</v>
      </c>
      <c r="F34" s="233"/>
      <c r="G34" s="233"/>
      <c r="H34" s="284" t="s">
        <v>11</v>
      </c>
      <c r="I34" s="234">
        <v>2005.04</v>
      </c>
      <c r="J34" s="235">
        <f t="shared" si="18"/>
        <v>1</v>
      </c>
      <c r="K34" s="236">
        <f t="shared" si="0"/>
        <v>5.9999999999999995E-4</v>
      </c>
      <c r="L34" s="237">
        <f t="shared" si="1"/>
        <v>5.9999999999999995E-4</v>
      </c>
      <c r="M34" s="375">
        <v>0.3</v>
      </c>
      <c r="N34" s="376">
        <f t="shared" si="2"/>
        <v>601.51</v>
      </c>
      <c r="O34" s="376">
        <f t="shared" si="3"/>
        <v>601.51</v>
      </c>
      <c r="P34" s="377">
        <f t="shared" si="4"/>
        <v>0</v>
      </c>
      <c r="Q34" s="79"/>
      <c r="R34" s="80"/>
      <c r="S34" s="249">
        <f t="shared" si="5"/>
        <v>104165.18000000001</v>
      </c>
      <c r="T34" s="250">
        <f t="shared" si="6"/>
        <v>0</v>
      </c>
      <c r="U34" s="249">
        <f t="shared" si="7"/>
        <v>104165.18000000001</v>
      </c>
      <c r="V34" s="250">
        <f t="shared" si="8"/>
        <v>0</v>
      </c>
      <c r="X34" s="78">
        <f t="shared" si="15"/>
        <v>2005.04</v>
      </c>
      <c r="Y34" s="81">
        <f t="shared" si="10"/>
        <v>1</v>
      </c>
      <c r="AA34" s="400">
        <f t="shared" si="13"/>
        <v>0</v>
      </c>
      <c r="AB34" s="396">
        <f t="shared" si="13"/>
        <v>175</v>
      </c>
      <c r="AC34" s="396">
        <f t="shared" si="13"/>
        <v>1830.04</v>
      </c>
      <c r="AD34" s="396">
        <f t="shared" si="13"/>
        <v>0</v>
      </c>
      <c r="AE34" s="401">
        <f t="shared" si="13"/>
        <v>0</v>
      </c>
    </row>
    <row r="35" spans="1:33" ht="12.75" customHeight="1">
      <c r="A35" s="77"/>
      <c r="B35" s="256" t="s">
        <v>22</v>
      </c>
      <c r="C35" s="241"/>
      <c r="D35" s="254" t="s">
        <v>128</v>
      </c>
      <c r="E35" s="233" t="s">
        <v>173</v>
      </c>
      <c r="F35" s="233"/>
      <c r="G35" s="233"/>
      <c r="H35" s="284" t="s">
        <v>114</v>
      </c>
      <c r="I35" s="234">
        <v>1.01</v>
      </c>
      <c r="J35" s="235">
        <f t="shared" si="18"/>
        <v>1</v>
      </c>
      <c r="K35" s="236">
        <f t="shared" si="0"/>
        <v>4.0000000000000001E-3</v>
      </c>
      <c r="L35" s="237">
        <f t="shared" si="1"/>
        <v>4.0000000000000001E-3</v>
      </c>
      <c r="M35" s="375">
        <v>3821.78</v>
      </c>
      <c r="N35" s="376">
        <f t="shared" si="2"/>
        <v>3860</v>
      </c>
      <c r="O35" s="376">
        <f t="shared" si="3"/>
        <v>3860</v>
      </c>
      <c r="P35" s="377">
        <f t="shared" si="4"/>
        <v>0</v>
      </c>
      <c r="Q35" s="79"/>
      <c r="R35" s="80"/>
      <c r="S35" s="249">
        <f t="shared" si="5"/>
        <v>103563.67000000001</v>
      </c>
      <c r="T35" s="250">
        <f t="shared" si="6"/>
        <v>0</v>
      </c>
      <c r="U35" s="249">
        <f t="shared" si="7"/>
        <v>103563.67000000001</v>
      </c>
      <c r="V35" s="250">
        <f t="shared" si="8"/>
        <v>0</v>
      </c>
      <c r="X35" s="78">
        <f t="shared" si="15"/>
        <v>1.01</v>
      </c>
      <c r="Y35" s="81">
        <f t="shared" si="10"/>
        <v>1</v>
      </c>
      <c r="AA35" s="400">
        <f t="shared" si="13"/>
        <v>0</v>
      </c>
      <c r="AB35" s="396">
        <f t="shared" si="13"/>
        <v>0.09</v>
      </c>
      <c r="AC35" s="396">
        <f t="shared" si="13"/>
        <v>0.92</v>
      </c>
      <c r="AD35" s="396">
        <f t="shared" si="13"/>
        <v>0</v>
      </c>
      <c r="AE35" s="401">
        <f t="shared" si="13"/>
        <v>0</v>
      </c>
    </row>
    <row r="36" spans="1:33" ht="12.75" customHeight="1">
      <c r="A36" s="77"/>
      <c r="B36" s="256" t="s">
        <v>22</v>
      </c>
      <c r="C36" s="241"/>
      <c r="D36" s="254">
        <v>570000</v>
      </c>
      <c r="E36" s="233" t="s">
        <v>174</v>
      </c>
      <c r="F36" s="233"/>
      <c r="G36" s="233"/>
      <c r="H36" s="284" t="s">
        <v>114</v>
      </c>
      <c r="I36" s="234">
        <v>139.4</v>
      </c>
      <c r="J36" s="235">
        <f t="shared" si="18"/>
        <v>1</v>
      </c>
      <c r="K36" s="236">
        <f t="shared" si="0"/>
        <v>2.9700000000000001E-2</v>
      </c>
      <c r="L36" s="237">
        <f t="shared" si="1"/>
        <v>2.9700000000000001E-2</v>
      </c>
      <c r="M36" s="375">
        <v>208.03</v>
      </c>
      <c r="N36" s="376">
        <f t="shared" si="2"/>
        <v>28999.38</v>
      </c>
      <c r="O36" s="376">
        <f t="shared" si="3"/>
        <v>28999.38</v>
      </c>
      <c r="P36" s="377">
        <f t="shared" si="4"/>
        <v>0</v>
      </c>
      <c r="Q36" s="79"/>
      <c r="R36" s="80"/>
      <c r="S36" s="249">
        <f t="shared" si="5"/>
        <v>99703.670000000013</v>
      </c>
      <c r="T36" s="250">
        <f t="shared" si="6"/>
        <v>0</v>
      </c>
      <c r="U36" s="249">
        <f t="shared" si="7"/>
        <v>99703.670000000013</v>
      </c>
      <c r="V36" s="250">
        <f t="shared" si="8"/>
        <v>0</v>
      </c>
      <c r="X36" s="78">
        <f t="shared" si="15"/>
        <v>139.4</v>
      </c>
      <c r="Y36" s="81">
        <f t="shared" si="10"/>
        <v>1</v>
      </c>
      <c r="AA36" s="400">
        <f t="shared" si="13"/>
        <v>0</v>
      </c>
      <c r="AB36" s="396">
        <f t="shared" si="13"/>
        <v>12.6</v>
      </c>
      <c r="AC36" s="396">
        <f t="shared" si="13"/>
        <v>126.80000000000001</v>
      </c>
      <c r="AD36" s="396">
        <f t="shared" si="13"/>
        <v>0</v>
      </c>
      <c r="AE36" s="401">
        <f t="shared" si="13"/>
        <v>0</v>
      </c>
    </row>
    <row r="37" spans="1:33" ht="12.75" customHeight="1">
      <c r="A37" s="77"/>
      <c r="B37" s="256" t="s">
        <v>22</v>
      </c>
      <c r="C37" s="241"/>
      <c r="D37" s="254" t="s">
        <v>129</v>
      </c>
      <c r="E37" s="233" t="s">
        <v>165</v>
      </c>
      <c r="F37" s="233"/>
      <c r="G37" s="233"/>
      <c r="H37" s="284" t="s">
        <v>114</v>
      </c>
      <c r="I37" s="234">
        <v>7.95</v>
      </c>
      <c r="J37" s="235">
        <f t="shared" si="18"/>
        <v>1</v>
      </c>
      <c r="K37" s="236">
        <f t="shared" si="0"/>
        <v>4.4200000000000003E-2</v>
      </c>
      <c r="L37" s="237">
        <f t="shared" si="1"/>
        <v>4.4200000000000003E-2</v>
      </c>
      <c r="M37" s="375">
        <v>5427.67</v>
      </c>
      <c r="N37" s="376">
        <f t="shared" si="2"/>
        <v>43149.98</v>
      </c>
      <c r="O37" s="376">
        <f t="shared" si="3"/>
        <v>43149.98</v>
      </c>
      <c r="P37" s="377">
        <f t="shared" si="4"/>
        <v>0</v>
      </c>
      <c r="Q37" s="79"/>
      <c r="R37" s="80"/>
      <c r="S37" s="249">
        <f t="shared" si="5"/>
        <v>70704.290000000008</v>
      </c>
      <c r="T37" s="250">
        <f t="shared" si="6"/>
        <v>0</v>
      </c>
      <c r="U37" s="249">
        <f t="shared" si="7"/>
        <v>70704.290000000008</v>
      </c>
      <c r="V37" s="250">
        <f t="shared" si="8"/>
        <v>0</v>
      </c>
      <c r="X37" s="78">
        <f t="shared" si="15"/>
        <v>7.95</v>
      </c>
      <c r="Y37" s="81">
        <f t="shared" si="10"/>
        <v>1</v>
      </c>
      <c r="AA37" s="400">
        <f t="shared" si="13"/>
        <v>0</v>
      </c>
      <c r="AB37" s="396">
        <f t="shared" si="13"/>
        <v>0.63</v>
      </c>
      <c r="AC37" s="396">
        <f t="shared" si="13"/>
        <v>7.32</v>
      </c>
      <c r="AD37" s="396">
        <f t="shared" si="13"/>
        <v>0</v>
      </c>
      <c r="AE37" s="401">
        <f t="shared" si="13"/>
        <v>0</v>
      </c>
    </row>
    <row r="38" spans="1:33" ht="12.75" customHeight="1">
      <c r="A38" s="77"/>
      <c r="B38" s="256" t="s">
        <v>22</v>
      </c>
      <c r="C38" s="241"/>
      <c r="D38" s="254">
        <v>98504</v>
      </c>
      <c r="E38" s="233" t="s">
        <v>175</v>
      </c>
      <c r="F38" s="233"/>
      <c r="G38" s="233"/>
      <c r="H38" s="284" t="s">
        <v>11</v>
      </c>
      <c r="I38" s="234">
        <v>1909.8</v>
      </c>
      <c r="J38" s="235">
        <f t="shared" si="18"/>
        <v>1</v>
      </c>
      <c r="K38" s="236">
        <f t="shared" si="0"/>
        <v>2.1999999999999999E-2</v>
      </c>
      <c r="L38" s="237">
        <f t="shared" si="1"/>
        <v>2.1999999999999999E-2</v>
      </c>
      <c r="M38" s="375">
        <v>11.26</v>
      </c>
      <c r="N38" s="376">
        <f t="shared" si="2"/>
        <v>21504.35</v>
      </c>
      <c r="O38" s="376">
        <f t="shared" si="3"/>
        <v>21504.35</v>
      </c>
      <c r="P38" s="377">
        <f t="shared" si="4"/>
        <v>0</v>
      </c>
      <c r="Q38" s="79"/>
      <c r="R38" s="80"/>
      <c r="S38" s="249">
        <f t="shared" si="5"/>
        <v>27554.309999999998</v>
      </c>
      <c r="T38" s="250">
        <f t="shared" si="6"/>
        <v>0</v>
      </c>
      <c r="U38" s="249">
        <f t="shared" si="7"/>
        <v>27554.309999999998</v>
      </c>
      <c r="V38" s="250">
        <f t="shared" si="8"/>
        <v>0</v>
      </c>
      <c r="X38" s="78">
        <f t="shared" si="15"/>
        <v>1909.8</v>
      </c>
      <c r="Y38" s="81">
        <f t="shared" si="10"/>
        <v>1</v>
      </c>
      <c r="AA38" s="400">
        <f t="shared" si="13"/>
        <v>0</v>
      </c>
      <c r="AB38" s="396">
        <f t="shared" si="13"/>
        <v>0</v>
      </c>
      <c r="AC38" s="396">
        <f t="shared" si="13"/>
        <v>1909.8</v>
      </c>
      <c r="AD38" s="396">
        <f t="shared" si="13"/>
        <v>0</v>
      </c>
      <c r="AE38" s="401">
        <f t="shared" si="13"/>
        <v>0</v>
      </c>
    </row>
    <row r="39" spans="1:33" ht="12.75" customHeight="1" thickBot="1">
      <c r="A39" s="77"/>
      <c r="B39" s="256" t="s">
        <v>22</v>
      </c>
      <c r="C39" s="241"/>
      <c r="D39" s="254" t="s">
        <v>130</v>
      </c>
      <c r="E39" s="233" t="s">
        <v>176</v>
      </c>
      <c r="F39" s="233"/>
      <c r="G39" s="233"/>
      <c r="H39" s="284" t="s">
        <v>9</v>
      </c>
      <c r="I39" s="234">
        <v>14</v>
      </c>
      <c r="J39" s="235">
        <f t="shared" si="18"/>
        <v>1</v>
      </c>
      <c r="K39" s="236">
        <f t="shared" si="0"/>
        <v>6.1999999999999998E-3</v>
      </c>
      <c r="L39" s="237">
        <f t="shared" si="1"/>
        <v>6.1999999999999998E-3</v>
      </c>
      <c r="M39" s="375">
        <v>432.14</v>
      </c>
      <c r="N39" s="376">
        <f t="shared" si="2"/>
        <v>6049.96</v>
      </c>
      <c r="O39" s="376">
        <f t="shared" si="3"/>
        <v>6049.96</v>
      </c>
      <c r="P39" s="377">
        <f t="shared" si="4"/>
        <v>0</v>
      </c>
      <c r="Q39" s="79"/>
      <c r="R39" s="80"/>
      <c r="S39" s="249">
        <f t="shared" si="5"/>
        <v>6049.96</v>
      </c>
      <c r="T39" s="250">
        <f t="shared" si="6"/>
        <v>0</v>
      </c>
      <c r="U39" s="249">
        <f t="shared" si="7"/>
        <v>6049.96</v>
      </c>
      <c r="V39" s="250">
        <f t="shared" si="8"/>
        <v>0</v>
      </c>
      <c r="X39" s="78">
        <f t="shared" si="15"/>
        <v>14</v>
      </c>
      <c r="Y39" s="81">
        <f t="shared" si="10"/>
        <v>1</v>
      </c>
      <c r="AA39" s="402">
        <f t="shared" si="13"/>
        <v>2</v>
      </c>
      <c r="AB39" s="403">
        <f t="shared" si="13"/>
        <v>0</v>
      </c>
      <c r="AC39" s="403">
        <f t="shared" si="13"/>
        <v>12</v>
      </c>
      <c r="AD39" s="403">
        <f t="shared" si="13"/>
        <v>0</v>
      </c>
      <c r="AE39" s="404">
        <f t="shared" si="13"/>
        <v>0</v>
      </c>
    </row>
    <row r="40" spans="1:33" ht="12.75" customHeight="1" thickBot="1">
      <c r="A40" s="77"/>
      <c r="B40" s="256" t="s">
        <v>22</v>
      </c>
      <c r="C40" s="241">
        <v>7</v>
      </c>
      <c r="D40" s="254"/>
      <c r="E40" s="365" t="s">
        <v>10</v>
      </c>
      <c r="F40" s="233"/>
      <c r="G40" s="233"/>
      <c r="H40" s="284" t="s">
        <v>207</v>
      </c>
      <c r="I40" s="234"/>
      <c r="J40" s="235"/>
      <c r="K40" s="236">
        <f t="shared" si="0"/>
        <v>0</v>
      </c>
      <c r="L40" s="237">
        <f t="shared" si="1"/>
        <v>0</v>
      </c>
      <c r="M40" s="375"/>
      <c r="N40" s="376">
        <f t="shared" si="2"/>
        <v>0</v>
      </c>
      <c r="O40" s="376">
        <f t="shared" si="3"/>
        <v>0</v>
      </c>
      <c r="P40" s="377">
        <f t="shared" si="4"/>
        <v>0</v>
      </c>
      <c r="Q40" s="79"/>
      <c r="R40" s="80"/>
      <c r="S40" s="249">
        <f t="shared" si="5"/>
        <v>0</v>
      </c>
      <c r="T40" s="250">
        <f t="shared" si="6"/>
        <v>12354.4</v>
      </c>
      <c r="U40" s="249">
        <f t="shared" si="7"/>
        <v>0</v>
      </c>
      <c r="V40" s="250">
        <f t="shared" si="8"/>
        <v>12354.4</v>
      </c>
      <c r="X40" s="78"/>
      <c r="Y40" s="81"/>
      <c r="AA40" s="394"/>
      <c r="AB40" s="394"/>
      <c r="AC40" s="394"/>
      <c r="AD40" s="394"/>
      <c r="AE40" s="394"/>
    </row>
    <row r="41" spans="1:33" ht="12.75" customHeight="1">
      <c r="A41" s="77"/>
      <c r="B41" s="256" t="s">
        <v>22</v>
      </c>
      <c r="C41" s="241"/>
      <c r="D41" s="254">
        <v>822000</v>
      </c>
      <c r="E41" s="233" t="s">
        <v>177</v>
      </c>
      <c r="F41" s="233"/>
      <c r="G41" s="233"/>
      <c r="H41" s="284" t="s">
        <v>11</v>
      </c>
      <c r="I41" s="234">
        <v>175.43</v>
      </c>
      <c r="J41" s="235">
        <f t="shared" ref="J41:J44" si="19">Y41</f>
        <v>1</v>
      </c>
      <c r="K41" s="236">
        <f t="shared" si="0"/>
        <v>5.1999999999999998E-3</v>
      </c>
      <c r="L41" s="237">
        <f t="shared" si="1"/>
        <v>5.1999999999999998E-3</v>
      </c>
      <c r="M41" s="375">
        <v>28.76</v>
      </c>
      <c r="N41" s="376">
        <f t="shared" si="2"/>
        <v>5045.37</v>
      </c>
      <c r="O41" s="376">
        <f t="shared" si="3"/>
        <v>5045.37</v>
      </c>
      <c r="P41" s="377">
        <f t="shared" si="4"/>
        <v>0</v>
      </c>
      <c r="Q41" s="79"/>
      <c r="R41" s="80"/>
      <c r="S41" s="249">
        <f t="shared" si="5"/>
        <v>12354.4</v>
      </c>
      <c r="T41" s="250">
        <f t="shared" si="6"/>
        <v>0</v>
      </c>
      <c r="U41" s="249">
        <f t="shared" si="7"/>
        <v>12354.4</v>
      </c>
      <c r="V41" s="250">
        <f t="shared" si="8"/>
        <v>0</v>
      </c>
      <c r="X41" s="78">
        <f t="shared" si="15"/>
        <v>175.43</v>
      </c>
      <c r="Y41" s="81">
        <f t="shared" si="10"/>
        <v>1</v>
      </c>
      <c r="AA41" s="397">
        <f t="shared" si="13"/>
        <v>0</v>
      </c>
      <c r="AB41" s="398">
        <f t="shared" si="13"/>
        <v>0</v>
      </c>
      <c r="AC41" s="398">
        <f t="shared" si="13"/>
        <v>175.43</v>
      </c>
      <c r="AD41" s="398">
        <f t="shared" si="13"/>
        <v>0</v>
      </c>
      <c r="AE41" s="399">
        <f t="shared" si="13"/>
        <v>0</v>
      </c>
    </row>
    <row r="42" spans="1:33" ht="12.75" customHeight="1">
      <c r="A42" s="77"/>
      <c r="B42" s="256" t="s">
        <v>22</v>
      </c>
      <c r="C42" s="241"/>
      <c r="D42" s="254" t="s">
        <v>131</v>
      </c>
      <c r="E42" s="233" t="s">
        <v>178</v>
      </c>
      <c r="F42" s="233"/>
      <c r="G42" s="233"/>
      <c r="H42" s="284" t="s">
        <v>9</v>
      </c>
      <c r="I42" s="234">
        <v>8</v>
      </c>
      <c r="J42" s="235">
        <f t="shared" si="19"/>
        <v>1</v>
      </c>
      <c r="K42" s="236">
        <f t="shared" si="0"/>
        <v>4.1999999999999997E-3</v>
      </c>
      <c r="L42" s="237">
        <f t="shared" si="1"/>
        <v>4.1999999999999997E-3</v>
      </c>
      <c r="M42" s="375">
        <v>515.63</v>
      </c>
      <c r="N42" s="376">
        <f t="shared" si="2"/>
        <v>4125.04</v>
      </c>
      <c r="O42" s="376">
        <f t="shared" si="3"/>
        <v>4125.04</v>
      </c>
      <c r="P42" s="377">
        <f t="shared" si="4"/>
        <v>0</v>
      </c>
      <c r="Q42" s="79"/>
      <c r="R42" s="80"/>
      <c r="S42" s="249">
        <f t="shared" si="5"/>
        <v>7309.03</v>
      </c>
      <c r="T42" s="250">
        <f t="shared" si="6"/>
        <v>0</v>
      </c>
      <c r="U42" s="249">
        <f t="shared" si="7"/>
        <v>7309.03</v>
      </c>
      <c r="V42" s="250">
        <f t="shared" si="8"/>
        <v>0</v>
      </c>
      <c r="X42" s="78">
        <f t="shared" si="15"/>
        <v>8</v>
      </c>
      <c r="Y42" s="81">
        <f t="shared" si="10"/>
        <v>1</v>
      </c>
      <c r="AA42" s="400">
        <f t="shared" si="13"/>
        <v>0</v>
      </c>
      <c r="AB42" s="396">
        <f t="shared" si="13"/>
        <v>0</v>
      </c>
      <c r="AC42" s="396">
        <f t="shared" si="13"/>
        <v>8</v>
      </c>
      <c r="AD42" s="396">
        <f t="shared" si="13"/>
        <v>0</v>
      </c>
      <c r="AE42" s="401">
        <f t="shared" si="13"/>
        <v>0</v>
      </c>
    </row>
    <row r="43" spans="1:33" ht="12.75" customHeight="1">
      <c r="A43" s="77"/>
      <c r="B43" s="256" t="s">
        <v>22</v>
      </c>
      <c r="C43" s="241"/>
      <c r="D43" s="254" t="s">
        <v>132</v>
      </c>
      <c r="E43" s="233" t="s">
        <v>179</v>
      </c>
      <c r="F43" s="233"/>
      <c r="G43" s="233"/>
      <c r="H43" s="284" t="s">
        <v>9</v>
      </c>
      <c r="I43" s="234">
        <v>3</v>
      </c>
      <c r="J43" s="235">
        <f t="shared" si="19"/>
        <v>1</v>
      </c>
      <c r="K43" s="236">
        <f t="shared" si="0"/>
        <v>1.6000000000000001E-3</v>
      </c>
      <c r="L43" s="237">
        <f t="shared" si="1"/>
        <v>1.6000000000000001E-3</v>
      </c>
      <c r="M43" s="375">
        <v>528</v>
      </c>
      <c r="N43" s="376">
        <f t="shared" si="2"/>
        <v>1584</v>
      </c>
      <c r="O43" s="376">
        <f t="shared" si="3"/>
        <v>1584</v>
      </c>
      <c r="P43" s="377">
        <f t="shared" si="4"/>
        <v>0</v>
      </c>
      <c r="Q43" s="79"/>
      <c r="R43" s="80"/>
      <c r="S43" s="249">
        <f t="shared" si="5"/>
        <v>3183.99</v>
      </c>
      <c r="T43" s="250">
        <f t="shared" si="6"/>
        <v>0</v>
      </c>
      <c r="U43" s="249">
        <f t="shared" si="7"/>
        <v>3183.99</v>
      </c>
      <c r="V43" s="250">
        <f t="shared" si="8"/>
        <v>0</v>
      </c>
      <c r="X43" s="78">
        <f t="shared" si="15"/>
        <v>3</v>
      </c>
      <c r="Y43" s="81">
        <f t="shared" si="10"/>
        <v>1</v>
      </c>
      <c r="AA43" s="400">
        <f t="shared" si="13"/>
        <v>0</v>
      </c>
      <c r="AB43" s="396">
        <f t="shared" si="13"/>
        <v>0</v>
      </c>
      <c r="AC43" s="396">
        <f t="shared" si="13"/>
        <v>3</v>
      </c>
      <c r="AD43" s="396">
        <f t="shared" si="13"/>
        <v>0</v>
      </c>
      <c r="AE43" s="401">
        <f t="shared" si="13"/>
        <v>0</v>
      </c>
    </row>
    <row r="44" spans="1:33" ht="12.75" customHeight="1" thickBot="1">
      <c r="A44" s="77"/>
      <c r="B44" s="256" t="s">
        <v>22</v>
      </c>
      <c r="C44" s="241"/>
      <c r="D44" s="254" t="s">
        <v>133</v>
      </c>
      <c r="E44" s="233" t="s">
        <v>180</v>
      </c>
      <c r="F44" s="233"/>
      <c r="G44" s="233"/>
      <c r="H44" s="284" t="s">
        <v>9</v>
      </c>
      <c r="I44" s="234">
        <v>3</v>
      </c>
      <c r="J44" s="235">
        <f t="shared" si="19"/>
        <v>1</v>
      </c>
      <c r="K44" s="236">
        <f t="shared" si="0"/>
        <v>1.6000000000000001E-3</v>
      </c>
      <c r="L44" s="237">
        <f t="shared" si="1"/>
        <v>1.6000000000000001E-3</v>
      </c>
      <c r="M44" s="375">
        <v>533.33000000000004</v>
      </c>
      <c r="N44" s="376">
        <f t="shared" si="2"/>
        <v>1599.99</v>
      </c>
      <c r="O44" s="376">
        <f t="shared" si="3"/>
        <v>1599.99</v>
      </c>
      <c r="P44" s="377">
        <f t="shared" si="4"/>
        <v>0</v>
      </c>
      <c r="Q44" s="79"/>
      <c r="R44" s="80"/>
      <c r="S44" s="249">
        <f t="shared" si="5"/>
        <v>1599.99</v>
      </c>
      <c r="T44" s="250">
        <f t="shared" si="6"/>
        <v>0</v>
      </c>
      <c r="U44" s="249">
        <f t="shared" si="7"/>
        <v>1599.99</v>
      </c>
      <c r="V44" s="250">
        <f t="shared" si="8"/>
        <v>0</v>
      </c>
      <c r="X44" s="78">
        <f t="shared" si="15"/>
        <v>3</v>
      </c>
      <c r="Y44" s="81">
        <f t="shared" si="10"/>
        <v>1</v>
      </c>
      <c r="AA44" s="402">
        <f t="shared" si="13"/>
        <v>0</v>
      </c>
      <c r="AB44" s="403">
        <f t="shared" si="13"/>
        <v>0</v>
      </c>
      <c r="AC44" s="403">
        <f t="shared" si="13"/>
        <v>3</v>
      </c>
      <c r="AD44" s="403">
        <f t="shared" si="13"/>
        <v>0</v>
      </c>
      <c r="AE44" s="404">
        <f t="shared" si="13"/>
        <v>0</v>
      </c>
    </row>
    <row r="45" spans="1:33" ht="12.75" customHeight="1" thickBot="1">
      <c r="A45" s="77"/>
      <c r="B45" s="256" t="s">
        <v>22</v>
      </c>
      <c r="C45" s="241">
        <v>8</v>
      </c>
      <c r="D45" s="254"/>
      <c r="E45" s="365" t="s">
        <v>21</v>
      </c>
      <c r="F45" s="233"/>
      <c r="G45" s="233"/>
      <c r="H45" s="284" t="s">
        <v>207</v>
      </c>
      <c r="I45" s="234"/>
      <c r="J45" s="235"/>
      <c r="K45" s="236">
        <f t="shared" si="0"/>
        <v>0</v>
      </c>
      <c r="L45" s="237">
        <f t="shared" si="1"/>
        <v>0</v>
      </c>
      <c r="M45" s="375"/>
      <c r="N45" s="376">
        <f t="shared" si="2"/>
        <v>0</v>
      </c>
      <c r="O45" s="376">
        <f t="shared" si="3"/>
        <v>0</v>
      </c>
      <c r="P45" s="377">
        <f t="shared" si="4"/>
        <v>0</v>
      </c>
      <c r="Q45" s="79"/>
      <c r="R45" s="80"/>
      <c r="S45" s="249">
        <f t="shared" si="5"/>
        <v>0</v>
      </c>
      <c r="T45" s="250">
        <f t="shared" si="6"/>
        <v>170583.26999999996</v>
      </c>
      <c r="U45" s="249">
        <f t="shared" si="7"/>
        <v>0</v>
      </c>
      <c r="V45" s="250">
        <f t="shared" si="8"/>
        <v>170583.26999999996</v>
      </c>
      <c r="X45" s="78"/>
      <c r="Y45" s="81"/>
      <c r="AA45" s="394"/>
      <c r="AB45" s="394"/>
      <c r="AC45" s="394"/>
      <c r="AD45" s="394"/>
      <c r="AE45" s="394"/>
    </row>
    <row r="46" spans="1:33" ht="12.75" customHeight="1">
      <c r="A46" s="77"/>
      <c r="B46" s="256" t="s">
        <v>22</v>
      </c>
      <c r="C46" s="241"/>
      <c r="D46" s="254">
        <v>600300</v>
      </c>
      <c r="E46" s="233" t="s">
        <v>181</v>
      </c>
      <c r="F46" s="233"/>
      <c r="G46" s="233"/>
      <c r="H46" s="284" t="s">
        <v>12</v>
      </c>
      <c r="I46" s="234">
        <v>909.13241545893732</v>
      </c>
      <c r="J46" s="235">
        <f t="shared" ref="J46:J62" si="20">Y46</f>
        <v>0.99999999999999989</v>
      </c>
      <c r="K46" s="236">
        <f t="shared" si="0"/>
        <v>3.8999999999999998E-3</v>
      </c>
      <c r="L46" s="237">
        <f t="shared" si="1"/>
        <v>3.8999999999999998E-3</v>
      </c>
      <c r="M46" s="375">
        <v>4.1399999999999997</v>
      </c>
      <c r="N46" s="376">
        <f t="shared" si="2"/>
        <v>3763.81</v>
      </c>
      <c r="O46" s="376">
        <f t="shared" si="3"/>
        <v>3763.81</v>
      </c>
      <c r="P46" s="377">
        <f t="shared" si="4"/>
        <v>0</v>
      </c>
      <c r="Q46" s="79"/>
      <c r="R46" s="386"/>
      <c r="S46" s="249">
        <f t="shared" si="5"/>
        <v>170583.26999999996</v>
      </c>
      <c r="T46" s="250">
        <f t="shared" si="6"/>
        <v>0</v>
      </c>
      <c r="U46" s="249">
        <f t="shared" si="7"/>
        <v>170583.26999999996</v>
      </c>
      <c r="V46" s="250">
        <f t="shared" si="8"/>
        <v>0</v>
      </c>
      <c r="X46" s="78">
        <f t="shared" si="15"/>
        <v>909.1324154589372</v>
      </c>
      <c r="Y46" s="81">
        <f t="shared" si="10"/>
        <v>0.99999999999999989</v>
      </c>
      <c r="Z46" s="385"/>
      <c r="AA46" s="397">
        <f t="shared" si="13"/>
        <v>0</v>
      </c>
      <c r="AB46" s="398">
        <f t="shared" si="13"/>
        <v>800</v>
      </c>
      <c r="AC46" s="398">
        <f t="shared" si="13"/>
        <v>109.1324154589372</v>
      </c>
      <c r="AD46" s="398">
        <f t="shared" si="13"/>
        <v>0</v>
      </c>
      <c r="AE46" s="399">
        <f t="shared" si="13"/>
        <v>0</v>
      </c>
    </row>
    <row r="47" spans="1:33" ht="12.75" customHeight="1">
      <c r="A47" s="77"/>
      <c r="B47" s="256" t="s">
        <v>22</v>
      </c>
      <c r="C47" s="241"/>
      <c r="D47" s="254">
        <v>601200</v>
      </c>
      <c r="E47" s="233" t="s">
        <v>182</v>
      </c>
      <c r="F47" s="233"/>
      <c r="G47" s="233"/>
      <c r="H47" s="284" t="s">
        <v>12</v>
      </c>
      <c r="I47" s="234">
        <v>198.33999999999997</v>
      </c>
      <c r="J47" s="235">
        <f t="shared" si="20"/>
        <v>1.0000000000000002</v>
      </c>
      <c r="K47" s="236">
        <f t="shared" si="0"/>
        <v>3.5999999999999999E-3</v>
      </c>
      <c r="L47" s="237">
        <f t="shared" si="1"/>
        <v>3.5999999999999999E-3</v>
      </c>
      <c r="M47" s="375">
        <v>17.93</v>
      </c>
      <c r="N47" s="376">
        <f t="shared" si="2"/>
        <v>3556.24</v>
      </c>
      <c r="O47" s="376">
        <f t="shared" si="3"/>
        <v>3556.24</v>
      </c>
      <c r="P47" s="377">
        <f t="shared" si="4"/>
        <v>0</v>
      </c>
      <c r="Q47" s="79"/>
      <c r="R47" s="386"/>
      <c r="S47" s="249">
        <f t="shared" si="5"/>
        <v>166819.45999999996</v>
      </c>
      <c r="T47" s="250">
        <f t="shared" si="6"/>
        <v>0</v>
      </c>
      <c r="U47" s="249">
        <f t="shared" si="7"/>
        <v>166819.45999999996</v>
      </c>
      <c r="V47" s="250">
        <f t="shared" si="8"/>
        <v>0</v>
      </c>
      <c r="X47" s="78">
        <f t="shared" si="15"/>
        <v>198.34</v>
      </c>
      <c r="Y47" s="81">
        <f t="shared" si="10"/>
        <v>1.0000000000000002</v>
      </c>
      <c r="Z47" s="385"/>
      <c r="AA47" s="400">
        <f t="shared" si="13"/>
        <v>0</v>
      </c>
      <c r="AB47" s="396">
        <f t="shared" si="13"/>
        <v>165</v>
      </c>
      <c r="AC47" s="396">
        <f t="shared" si="13"/>
        <v>33.340000000000003</v>
      </c>
      <c r="AD47" s="396">
        <f t="shared" si="13"/>
        <v>0</v>
      </c>
      <c r="AE47" s="401">
        <f t="shared" si="13"/>
        <v>0</v>
      </c>
    </row>
    <row r="48" spans="1:33" ht="12.75" customHeight="1">
      <c r="A48" s="77"/>
      <c r="B48" s="256" t="s">
        <v>22</v>
      </c>
      <c r="C48" s="241"/>
      <c r="D48" s="254">
        <v>620000</v>
      </c>
      <c r="E48" s="233" t="s">
        <v>183</v>
      </c>
      <c r="F48" s="233"/>
      <c r="G48" s="233"/>
      <c r="H48" s="284" t="s">
        <v>9</v>
      </c>
      <c r="I48" s="234">
        <v>0</v>
      </c>
      <c r="J48" s="235">
        <f t="shared" si="20"/>
        <v>0</v>
      </c>
      <c r="K48" s="236">
        <f t="shared" si="0"/>
        <v>0</v>
      </c>
      <c r="L48" s="237">
        <f t="shared" si="1"/>
        <v>0</v>
      </c>
      <c r="M48" s="375">
        <v>900</v>
      </c>
      <c r="N48" s="376">
        <f t="shared" si="2"/>
        <v>0</v>
      </c>
      <c r="O48" s="376">
        <f t="shared" si="3"/>
        <v>0</v>
      </c>
      <c r="P48" s="377">
        <f t="shared" si="4"/>
        <v>0</v>
      </c>
      <c r="Q48" s="79"/>
      <c r="R48" s="386"/>
      <c r="S48" s="249">
        <f t="shared" si="5"/>
        <v>163263.21999999997</v>
      </c>
      <c r="T48" s="250">
        <f t="shared" si="6"/>
        <v>0</v>
      </c>
      <c r="U48" s="249">
        <f t="shared" si="7"/>
        <v>163263.21999999997</v>
      </c>
      <c r="V48" s="250">
        <f t="shared" si="8"/>
        <v>0</v>
      </c>
      <c r="X48" s="78">
        <f t="shared" si="15"/>
        <v>1</v>
      </c>
      <c r="Y48" s="81">
        <f t="shared" si="10"/>
        <v>0</v>
      </c>
      <c r="Z48" s="385"/>
      <c r="AA48" s="400">
        <f t="shared" si="13"/>
        <v>0</v>
      </c>
      <c r="AB48" s="396">
        <f t="shared" si="13"/>
        <v>1</v>
      </c>
      <c r="AC48" s="396">
        <f t="shared" si="13"/>
        <v>0</v>
      </c>
      <c r="AD48" s="396">
        <f t="shared" si="13"/>
        <v>0</v>
      </c>
      <c r="AE48" s="401">
        <f t="shared" si="13"/>
        <v>0</v>
      </c>
    </row>
    <row r="49" spans="1:31" ht="12.75" customHeight="1">
      <c r="A49" s="77"/>
      <c r="B49" s="256" t="s">
        <v>22</v>
      </c>
      <c r="C49" s="241"/>
      <c r="D49" s="254">
        <v>620100</v>
      </c>
      <c r="E49" s="233" t="s">
        <v>184</v>
      </c>
      <c r="F49" s="233"/>
      <c r="G49" s="233"/>
      <c r="H49" s="284" t="s">
        <v>9</v>
      </c>
      <c r="I49" s="234">
        <v>1</v>
      </c>
      <c r="J49" s="235">
        <f t="shared" si="20"/>
        <v>1</v>
      </c>
      <c r="K49" s="236">
        <f t="shared" si="0"/>
        <v>1.4E-3</v>
      </c>
      <c r="L49" s="237">
        <f t="shared" si="1"/>
        <v>1.4E-3</v>
      </c>
      <c r="M49" s="375">
        <v>1410</v>
      </c>
      <c r="N49" s="376">
        <f t="shared" si="2"/>
        <v>1410</v>
      </c>
      <c r="O49" s="376">
        <f t="shared" si="3"/>
        <v>1410</v>
      </c>
      <c r="P49" s="377">
        <f t="shared" si="4"/>
        <v>0</v>
      </c>
      <c r="Q49" s="79"/>
      <c r="R49" s="386"/>
      <c r="S49" s="249">
        <f t="shared" si="5"/>
        <v>163263.21999999997</v>
      </c>
      <c r="T49" s="250">
        <f t="shared" si="6"/>
        <v>0</v>
      </c>
      <c r="U49" s="249">
        <f t="shared" si="7"/>
        <v>163263.21999999997</v>
      </c>
      <c r="V49" s="250">
        <f t="shared" si="8"/>
        <v>0</v>
      </c>
      <c r="X49" s="78">
        <f t="shared" si="15"/>
        <v>1</v>
      </c>
      <c r="Y49" s="81">
        <f t="shared" si="10"/>
        <v>1</v>
      </c>
      <c r="AA49" s="400">
        <f t="shared" si="13"/>
        <v>0</v>
      </c>
      <c r="AB49" s="396">
        <f t="shared" si="13"/>
        <v>1</v>
      </c>
      <c r="AC49" s="396">
        <f t="shared" si="13"/>
        <v>0</v>
      </c>
      <c r="AD49" s="396">
        <f t="shared" si="13"/>
        <v>0</v>
      </c>
      <c r="AE49" s="401">
        <f t="shared" si="13"/>
        <v>0</v>
      </c>
    </row>
    <row r="50" spans="1:31" ht="12.75" customHeight="1">
      <c r="A50" s="77"/>
      <c r="B50" s="256" t="s">
        <v>22</v>
      </c>
      <c r="C50" s="241"/>
      <c r="D50" s="254" t="s">
        <v>134</v>
      </c>
      <c r="E50" s="233" t="s">
        <v>185</v>
      </c>
      <c r="F50" s="233"/>
      <c r="G50" s="233"/>
      <c r="H50" s="284" t="s">
        <v>13</v>
      </c>
      <c r="I50" s="234">
        <v>184</v>
      </c>
      <c r="J50" s="235">
        <f t="shared" si="20"/>
        <v>1</v>
      </c>
      <c r="K50" s="236">
        <f t="shared" si="0"/>
        <v>1.01E-2</v>
      </c>
      <c r="L50" s="237">
        <f t="shared" si="1"/>
        <v>1.01E-2</v>
      </c>
      <c r="M50" s="375">
        <v>53.45</v>
      </c>
      <c r="N50" s="376">
        <f t="shared" si="2"/>
        <v>9834.7999999999993</v>
      </c>
      <c r="O50" s="376">
        <f t="shared" si="3"/>
        <v>9834.7999999999993</v>
      </c>
      <c r="P50" s="377">
        <f t="shared" si="4"/>
        <v>0</v>
      </c>
      <c r="Q50" s="79"/>
      <c r="R50" s="386"/>
      <c r="S50" s="249">
        <f t="shared" si="5"/>
        <v>161853.21999999997</v>
      </c>
      <c r="T50" s="250">
        <f t="shared" si="6"/>
        <v>0</v>
      </c>
      <c r="U50" s="249">
        <f t="shared" si="7"/>
        <v>161853.21999999997</v>
      </c>
      <c r="V50" s="250">
        <f t="shared" si="8"/>
        <v>0</v>
      </c>
      <c r="X50" s="78">
        <f t="shared" si="15"/>
        <v>184</v>
      </c>
      <c r="Y50" s="81">
        <f t="shared" si="10"/>
        <v>1</v>
      </c>
      <c r="Z50" s="385"/>
      <c r="AA50" s="400">
        <f t="shared" si="13"/>
        <v>0</v>
      </c>
      <c r="AB50" s="396">
        <f t="shared" si="13"/>
        <v>184</v>
      </c>
      <c r="AC50" s="396">
        <f t="shared" si="13"/>
        <v>0</v>
      </c>
      <c r="AD50" s="396">
        <f t="shared" si="13"/>
        <v>0</v>
      </c>
      <c r="AE50" s="401">
        <f t="shared" si="13"/>
        <v>0</v>
      </c>
    </row>
    <row r="51" spans="1:31" ht="12.75" customHeight="1">
      <c r="A51" s="77"/>
      <c r="B51" s="256" t="s">
        <v>22</v>
      </c>
      <c r="C51" s="241"/>
      <c r="D51" s="254" t="s">
        <v>135</v>
      </c>
      <c r="E51" s="233" t="s">
        <v>186</v>
      </c>
      <c r="F51" s="233"/>
      <c r="G51" s="233"/>
      <c r="H51" s="284" t="s">
        <v>13</v>
      </c>
      <c r="I51" s="234">
        <v>0</v>
      </c>
      <c r="J51" s="235">
        <f t="shared" si="20"/>
        <v>0</v>
      </c>
      <c r="K51" s="236">
        <f t="shared" si="0"/>
        <v>0</v>
      </c>
      <c r="L51" s="237">
        <f t="shared" si="1"/>
        <v>0</v>
      </c>
      <c r="M51" s="375">
        <v>104.76</v>
      </c>
      <c r="N51" s="376">
        <f t="shared" si="2"/>
        <v>0</v>
      </c>
      <c r="O51" s="376">
        <f t="shared" si="3"/>
        <v>0</v>
      </c>
      <c r="P51" s="377">
        <f t="shared" si="4"/>
        <v>0</v>
      </c>
      <c r="Q51" s="79"/>
      <c r="R51" s="386"/>
      <c r="S51" s="249">
        <f t="shared" si="5"/>
        <v>152018.41999999998</v>
      </c>
      <c r="T51" s="250">
        <f t="shared" si="6"/>
        <v>0</v>
      </c>
      <c r="U51" s="249">
        <f t="shared" si="7"/>
        <v>152018.41999999998</v>
      </c>
      <c r="V51" s="250">
        <f t="shared" si="8"/>
        <v>0</v>
      </c>
      <c r="X51" s="78">
        <f t="shared" si="15"/>
        <v>0</v>
      </c>
      <c r="Y51" s="81">
        <f t="shared" si="10"/>
        <v>0</v>
      </c>
      <c r="Z51" s="385"/>
      <c r="AA51" s="400">
        <f t="shared" si="13"/>
        <v>0</v>
      </c>
      <c r="AB51" s="396">
        <f t="shared" si="13"/>
        <v>0</v>
      </c>
      <c r="AC51" s="396">
        <f t="shared" si="13"/>
        <v>0</v>
      </c>
      <c r="AD51" s="396">
        <f t="shared" si="13"/>
        <v>0</v>
      </c>
      <c r="AE51" s="401">
        <f t="shared" si="13"/>
        <v>0</v>
      </c>
    </row>
    <row r="52" spans="1:31" ht="12.75" customHeight="1">
      <c r="A52" s="77"/>
      <c r="B52" s="256" t="s">
        <v>22</v>
      </c>
      <c r="C52" s="241"/>
      <c r="D52" s="254" t="s">
        <v>136</v>
      </c>
      <c r="E52" s="233" t="s">
        <v>187</v>
      </c>
      <c r="F52" s="233"/>
      <c r="G52" s="233"/>
      <c r="H52" s="284" t="s">
        <v>13</v>
      </c>
      <c r="I52" s="234">
        <v>72</v>
      </c>
      <c r="J52" s="235">
        <f t="shared" si="20"/>
        <v>1</v>
      </c>
      <c r="K52" s="236">
        <f t="shared" si="0"/>
        <v>8.0999999999999996E-3</v>
      </c>
      <c r="L52" s="237">
        <f t="shared" si="1"/>
        <v>8.0999999999999996E-3</v>
      </c>
      <c r="M52" s="375">
        <v>110.43</v>
      </c>
      <c r="N52" s="376">
        <f t="shared" si="2"/>
        <v>7950.96</v>
      </c>
      <c r="O52" s="376">
        <f t="shared" si="3"/>
        <v>7950.96</v>
      </c>
      <c r="P52" s="377">
        <f t="shared" si="4"/>
        <v>0</v>
      </c>
      <c r="Q52" s="79"/>
      <c r="R52" s="386"/>
      <c r="S52" s="249">
        <f t="shared" si="5"/>
        <v>152018.41999999998</v>
      </c>
      <c r="T52" s="250">
        <f t="shared" si="6"/>
        <v>0</v>
      </c>
      <c r="U52" s="249">
        <f t="shared" si="7"/>
        <v>152018.41999999998</v>
      </c>
      <c r="V52" s="250">
        <f t="shared" si="8"/>
        <v>0</v>
      </c>
      <c r="X52" s="78">
        <f t="shared" si="15"/>
        <v>72</v>
      </c>
      <c r="Y52" s="81">
        <f t="shared" si="10"/>
        <v>1</v>
      </c>
      <c r="Z52" s="385"/>
      <c r="AA52" s="400">
        <f t="shared" si="13"/>
        <v>0</v>
      </c>
      <c r="AB52" s="396">
        <f t="shared" si="13"/>
        <v>62</v>
      </c>
      <c r="AC52" s="396">
        <f t="shared" si="13"/>
        <v>10</v>
      </c>
      <c r="AD52" s="396">
        <f t="shared" si="13"/>
        <v>0</v>
      </c>
      <c r="AE52" s="401">
        <f t="shared" si="13"/>
        <v>0</v>
      </c>
    </row>
    <row r="53" spans="1:31" ht="12.75" customHeight="1">
      <c r="A53" s="77"/>
      <c r="B53" s="256" t="s">
        <v>22</v>
      </c>
      <c r="C53" s="241"/>
      <c r="D53" s="254" t="s">
        <v>137</v>
      </c>
      <c r="E53" s="233" t="s">
        <v>188</v>
      </c>
      <c r="F53" s="233"/>
      <c r="G53" s="233"/>
      <c r="H53" s="284" t="s">
        <v>13</v>
      </c>
      <c r="I53" s="234">
        <v>169</v>
      </c>
      <c r="J53" s="235">
        <f t="shared" si="20"/>
        <v>1</v>
      </c>
      <c r="K53" s="236">
        <f t="shared" si="0"/>
        <v>3.15E-2</v>
      </c>
      <c r="L53" s="237">
        <f t="shared" si="1"/>
        <v>3.15E-2</v>
      </c>
      <c r="M53" s="375">
        <v>181.82</v>
      </c>
      <c r="N53" s="376">
        <f t="shared" si="2"/>
        <v>30727.58</v>
      </c>
      <c r="O53" s="376">
        <f t="shared" si="3"/>
        <v>30727.58</v>
      </c>
      <c r="P53" s="377">
        <f t="shared" si="4"/>
        <v>0</v>
      </c>
      <c r="Q53" s="79"/>
      <c r="R53" s="386"/>
      <c r="S53" s="249">
        <f t="shared" si="5"/>
        <v>144067.46</v>
      </c>
      <c r="T53" s="250">
        <f t="shared" si="6"/>
        <v>0</v>
      </c>
      <c r="U53" s="249">
        <f t="shared" si="7"/>
        <v>144067.46</v>
      </c>
      <c r="V53" s="250">
        <f t="shared" si="8"/>
        <v>0</v>
      </c>
      <c r="X53" s="78">
        <f t="shared" si="15"/>
        <v>169</v>
      </c>
      <c r="Y53" s="81">
        <f t="shared" si="10"/>
        <v>1</v>
      </c>
      <c r="Z53" s="385"/>
      <c r="AA53" s="400">
        <f t="shared" si="13"/>
        <v>0</v>
      </c>
      <c r="AB53" s="396">
        <f t="shared" si="13"/>
        <v>169</v>
      </c>
      <c r="AC53" s="396">
        <f t="shared" si="13"/>
        <v>0</v>
      </c>
      <c r="AD53" s="396">
        <f t="shared" si="13"/>
        <v>0</v>
      </c>
      <c r="AE53" s="401">
        <f t="shared" si="13"/>
        <v>0</v>
      </c>
    </row>
    <row r="54" spans="1:31" ht="12.75" customHeight="1">
      <c r="A54" s="77"/>
      <c r="B54" s="256" t="s">
        <v>22</v>
      </c>
      <c r="C54" s="241"/>
      <c r="D54" s="254" t="s">
        <v>138</v>
      </c>
      <c r="E54" s="233" t="s">
        <v>189</v>
      </c>
      <c r="F54" s="233"/>
      <c r="G54" s="233"/>
      <c r="H54" s="284" t="s">
        <v>9</v>
      </c>
      <c r="I54" s="234">
        <v>32</v>
      </c>
      <c r="J54" s="235">
        <f t="shared" si="20"/>
        <v>1</v>
      </c>
      <c r="K54" s="236">
        <f t="shared" si="0"/>
        <v>3.0800000000000001E-2</v>
      </c>
      <c r="L54" s="237">
        <f t="shared" si="1"/>
        <v>3.0800000000000001E-2</v>
      </c>
      <c r="M54" s="375">
        <v>940.48</v>
      </c>
      <c r="N54" s="376">
        <f t="shared" si="2"/>
        <v>30095.360000000001</v>
      </c>
      <c r="O54" s="376">
        <f t="shared" si="3"/>
        <v>30095.360000000001</v>
      </c>
      <c r="P54" s="377">
        <f t="shared" si="4"/>
        <v>0</v>
      </c>
      <c r="Q54" s="79"/>
      <c r="R54" s="386"/>
      <c r="S54" s="249">
        <f t="shared" si="5"/>
        <v>113339.87999999999</v>
      </c>
      <c r="T54" s="250">
        <f t="shared" si="6"/>
        <v>0</v>
      </c>
      <c r="U54" s="249">
        <f t="shared" si="7"/>
        <v>113339.87999999999</v>
      </c>
      <c r="V54" s="250">
        <f t="shared" si="8"/>
        <v>0</v>
      </c>
      <c r="X54" s="78">
        <f t="shared" si="15"/>
        <v>32</v>
      </c>
      <c r="Y54" s="81">
        <f t="shared" si="10"/>
        <v>1</v>
      </c>
      <c r="Z54" s="385"/>
      <c r="AA54" s="400">
        <f t="shared" si="13"/>
        <v>9</v>
      </c>
      <c r="AB54" s="396">
        <f t="shared" si="13"/>
        <v>11.999989367131677</v>
      </c>
      <c r="AC54" s="396">
        <f t="shared" si="13"/>
        <v>11.000010632868323</v>
      </c>
      <c r="AD54" s="396">
        <f t="shared" si="13"/>
        <v>0</v>
      </c>
      <c r="AE54" s="401">
        <f t="shared" si="13"/>
        <v>0</v>
      </c>
    </row>
    <row r="55" spans="1:31" ht="12.75" customHeight="1">
      <c r="A55" s="77"/>
      <c r="B55" s="256" t="s">
        <v>22</v>
      </c>
      <c r="C55" s="241"/>
      <c r="D55" s="254" t="s">
        <v>139</v>
      </c>
      <c r="E55" s="233" t="s">
        <v>190</v>
      </c>
      <c r="F55" s="233"/>
      <c r="G55" s="233"/>
      <c r="H55" s="284" t="s">
        <v>9</v>
      </c>
      <c r="I55" s="234">
        <v>3</v>
      </c>
      <c r="J55" s="235">
        <f t="shared" si="20"/>
        <v>1</v>
      </c>
      <c r="K55" s="236">
        <f t="shared" si="0"/>
        <v>6.1000000000000004E-3</v>
      </c>
      <c r="L55" s="237">
        <f t="shared" si="1"/>
        <v>6.1000000000000004E-3</v>
      </c>
      <c r="M55" s="375">
        <v>1975</v>
      </c>
      <c r="N55" s="376">
        <f t="shared" si="2"/>
        <v>5925</v>
      </c>
      <c r="O55" s="376">
        <f t="shared" si="3"/>
        <v>5925</v>
      </c>
      <c r="P55" s="377">
        <f t="shared" si="4"/>
        <v>0</v>
      </c>
      <c r="Q55" s="79"/>
      <c r="R55" s="386"/>
      <c r="S55" s="249">
        <f t="shared" si="5"/>
        <v>83244.51999999999</v>
      </c>
      <c r="T55" s="250">
        <f t="shared" si="6"/>
        <v>0</v>
      </c>
      <c r="U55" s="249">
        <f t="shared" si="7"/>
        <v>83244.51999999999</v>
      </c>
      <c r="V55" s="250">
        <f t="shared" si="8"/>
        <v>0</v>
      </c>
      <c r="X55" s="78">
        <f t="shared" si="15"/>
        <v>3</v>
      </c>
      <c r="Y55" s="81">
        <f t="shared" si="10"/>
        <v>1</v>
      </c>
      <c r="Z55" s="385"/>
      <c r="AA55" s="400">
        <f t="shared" si="13"/>
        <v>0</v>
      </c>
      <c r="AB55" s="396">
        <f t="shared" si="13"/>
        <v>3</v>
      </c>
      <c r="AC55" s="396">
        <f t="shared" si="13"/>
        <v>0</v>
      </c>
      <c r="AD55" s="396">
        <f t="shared" si="13"/>
        <v>0</v>
      </c>
      <c r="AE55" s="401">
        <f t="shared" si="13"/>
        <v>0</v>
      </c>
    </row>
    <row r="56" spans="1:31" ht="12.75" customHeight="1">
      <c r="A56" s="77"/>
      <c r="B56" s="256" t="s">
        <v>22</v>
      </c>
      <c r="C56" s="241"/>
      <c r="D56" s="254" t="s">
        <v>140</v>
      </c>
      <c r="E56" s="233" t="s">
        <v>191</v>
      </c>
      <c r="F56" s="233"/>
      <c r="G56" s="233"/>
      <c r="H56" s="284" t="s">
        <v>9</v>
      </c>
      <c r="I56" s="234">
        <v>7</v>
      </c>
      <c r="J56" s="235">
        <f t="shared" si="20"/>
        <v>1</v>
      </c>
      <c r="K56" s="236">
        <f t="shared" si="0"/>
        <v>3.8E-3</v>
      </c>
      <c r="L56" s="237">
        <f t="shared" si="1"/>
        <v>3.8E-3</v>
      </c>
      <c r="M56" s="375">
        <v>530</v>
      </c>
      <c r="N56" s="376">
        <f t="shared" si="2"/>
        <v>3710</v>
      </c>
      <c r="O56" s="376">
        <f t="shared" si="3"/>
        <v>3710</v>
      </c>
      <c r="P56" s="377">
        <f t="shared" si="4"/>
        <v>0</v>
      </c>
      <c r="Q56" s="79"/>
      <c r="R56" s="386"/>
      <c r="S56" s="249">
        <f t="shared" si="5"/>
        <v>77319.51999999999</v>
      </c>
      <c r="T56" s="250">
        <f t="shared" si="6"/>
        <v>0</v>
      </c>
      <c r="U56" s="249">
        <f t="shared" si="7"/>
        <v>77319.51999999999</v>
      </c>
      <c r="V56" s="250">
        <f t="shared" si="8"/>
        <v>0</v>
      </c>
      <c r="X56" s="78">
        <f t="shared" si="15"/>
        <v>7</v>
      </c>
      <c r="Y56" s="81">
        <f t="shared" si="10"/>
        <v>1</v>
      </c>
      <c r="Z56" s="385"/>
      <c r="AA56" s="400">
        <f t="shared" si="13"/>
        <v>0</v>
      </c>
      <c r="AB56" s="396">
        <f t="shared" si="13"/>
        <v>3</v>
      </c>
      <c r="AC56" s="396">
        <f t="shared" si="13"/>
        <v>4</v>
      </c>
      <c r="AD56" s="396">
        <f t="shared" si="13"/>
        <v>0</v>
      </c>
      <c r="AE56" s="401">
        <f t="shared" si="13"/>
        <v>0</v>
      </c>
    </row>
    <row r="57" spans="1:31" ht="12.75" customHeight="1">
      <c r="A57" s="77"/>
      <c r="B57" s="256" t="s">
        <v>22</v>
      </c>
      <c r="C57" s="241"/>
      <c r="D57" s="254" t="s">
        <v>141</v>
      </c>
      <c r="E57" s="233" t="s">
        <v>192</v>
      </c>
      <c r="F57" s="233"/>
      <c r="G57" s="233"/>
      <c r="H57" s="284" t="s">
        <v>9</v>
      </c>
      <c r="I57" s="234">
        <v>4</v>
      </c>
      <c r="J57" s="235">
        <f t="shared" si="20"/>
        <v>1</v>
      </c>
      <c r="K57" s="236">
        <f t="shared" si="0"/>
        <v>3.3E-3</v>
      </c>
      <c r="L57" s="237">
        <f t="shared" si="1"/>
        <v>3.3E-3</v>
      </c>
      <c r="M57" s="375">
        <v>816.67</v>
      </c>
      <c r="N57" s="376">
        <f t="shared" si="2"/>
        <v>3266.68</v>
      </c>
      <c r="O57" s="376">
        <f t="shared" si="3"/>
        <v>3266.68</v>
      </c>
      <c r="P57" s="377">
        <f t="shared" si="4"/>
        <v>0</v>
      </c>
      <c r="Q57" s="79"/>
      <c r="R57" s="386"/>
      <c r="S57" s="249">
        <f t="shared" si="5"/>
        <v>73609.51999999999</v>
      </c>
      <c r="T57" s="250">
        <f t="shared" si="6"/>
        <v>0</v>
      </c>
      <c r="U57" s="249">
        <f t="shared" si="7"/>
        <v>73609.51999999999</v>
      </c>
      <c r="V57" s="250">
        <f t="shared" si="8"/>
        <v>0</v>
      </c>
      <c r="X57" s="78">
        <f t="shared" si="15"/>
        <v>4</v>
      </c>
      <c r="Y57" s="81">
        <f t="shared" si="10"/>
        <v>1</v>
      </c>
      <c r="Z57" s="385"/>
      <c r="AA57" s="400">
        <f t="shared" si="13"/>
        <v>2</v>
      </c>
      <c r="AB57" s="396">
        <f t="shared" si="13"/>
        <v>2</v>
      </c>
      <c r="AC57" s="396">
        <f t="shared" si="13"/>
        <v>0</v>
      </c>
      <c r="AD57" s="396">
        <f t="shared" si="13"/>
        <v>0</v>
      </c>
      <c r="AE57" s="401">
        <f t="shared" si="13"/>
        <v>0</v>
      </c>
    </row>
    <row r="58" spans="1:31" ht="12.75" customHeight="1">
      <c r="A58" s="77"/>
      <c r="B58" s="256" t="s">
        <v>22</v>
      </c>
      <c r="C58" s="241"/>
      <c r="D58" s="254" t="s">
        <v>142</v>
      </c>
      <c r="E58" s="233" t="s">
        <v>193</v>
      </c>
      <c r="F58" s="233"/>
      <c r="G58" s="233"/>
      <c r="H58" s="284" t="s">
        <v>9</v>
      </c>
      <c r="I58" s="234">
        <v>10</v>
      </c>
      <c r="J58" s="235">
        <f t="shared" si="20"/>
        <v>1</v>
      </c>
      <c r="K58" s="236">
        <f t="shared" si="0"/>
        <v>1.67E-2</v>
      </c>
      <c r="L58" s="237">
        <f t="shared" si="1"/>
        <v>1.67E-2</v>
      </c>
      <c r="M58" s="375">
        <v>1628</v>
      </c>
      <c r="N58" s="376">
        <f t="shared" si="2"/>
        <v>16280</v>
      </c>
      <c r="O58" s="376">
        <f t="shared" si="3"/>
        <v>16280</v>
      </c>
      <c r="P58" s="377">
        <f t="shared" si="4"/>
        <v>0</v>
      </c>
      <c r="Q58" s="79"/>
      <c r="R58" s="386"/>
      <c r="S58" s="249">
        <f t="shared" si="5"/>
        <v>70342.84</v>
      </c>
      <c r="T58" s="250">
        <f t="shared" si="6"/>
        <v>0</v>
      </c>
      <c r="U58" s="249">
        <f t="shared" si="7"/>
        <v>70342.84</v>
      </c>
      <c r="V58" s="250">
        <f t="shared" si="8"/>
        <v>0</v>
      </c>
      <c r="X58" s="78">
        <f t="shared" si="15"/>
        <v>10</v>
      </c>
      <c r="Y58" s="81">
        <f t="shared" si="10"/>
        <v>1</v>
      </c>
      <c r="AA58" s="400">
        <f t="shared" si="13"/>
        <v>2</v>
      </c>
      <c r="AB58" s="396">
        <f t="shared" si="13"/>
        <v>0</v>
      </c>
      <c r="AC58" s="396">
        <f t="shared" si="13"/>
        <v>8</v>
      </c>
      <c r="AD58" s="396">
        <f t="shared" si="13"/>
        <v>0</v>
      </c>
      <c r="AE58" s="401">
        <f t="shared" si="13"/>
        <v>0</v>
      </c>
    </row>
    <row r="59" spans="1:31" ht="12.75" customHeight="1">
      <c r="A59" s="77"/>
      <c r="B59" s="256" t="s">
        <v>22</v>
      </c>
      <c r="C59" s="241"/>
      <c r="D59" s="254" t="s">
        <v>143</v>
      </c>
      <c r="E59" s="233" t="s">
        <v>194</v>
      </c>
      <c r="F59" s="233"/>
      <c r="G59" s="233"/>
      <c r="H59" s="284" t="s">
        <v>9</v>
      </c>
      <c r="I59" s="234">
        <v>7</v>
      </c>
      <c r="J59" s="235">
        <f t="shared" si="20"/>
        <v>1</v>
      </c>
      <c r="K59" s="236">
        <f t="shared" si="0"/>
        <v>1.29E-2</v>
      </c>
      <c r="L59" s="237">
        <f t="shared" si="1"/>
        <v>1.29E-2</v>
      </c>
      <c r="M59" s="375">
        <v>1800</v>
      </c>
      <c r="N59" s="376">
        <f t="shared" si="2"/>
        <v>12600</v>
      </c>
      <c r="O59" s="376">
        <f t="shared" si="3"/>
        <v>12600</v>
      </c>
      <c r="P59" s="377">
        <f t="shared" si="4"/>
        <v>0</v>
      </c>
      <c r="Q59" s="79"/>
      <c r="R59" s="386"/>
      <c r="S59" s="249">
        <f t="shared" si="5"/>
        <v>54062.84</v>
      </c>
      <c r="T59" s="250">
        <f t="shared" si="6"/>
        <v>0</v>
      </c>
      <c r="U59" s="249">
        <f t="shared" si="7"/>
        <v>54062.84</v>
      </c>
      <c r="V59" s="250">
        <f t="shared" si="8"/>
        <v>0</v>
      </c>
      <c r="X59" s="78">
        <f t="shared" si="15"/>
        <v>7</v>
      </c>
      <c r="Y59" s="81">
        <f t="shared" si="10"/>
        <v>1</v>
      </c>
      <c r="AA59" s="400">
        <f t="shared" si="13"/>
        <v>1</v>
      </c>
      <c r="AB59" s="396">
        <f t="shared" si="13"/>
        <v>0</v>
      </c>
      <c r="AC59" s="396">
        <f t="shared" si="13"/>
        <v>6</v>
      </c>
      <c r="AD59" s="396">
        <f t="shared" ref="AB59:AE71" si="21">AD123+AD187</f>
        <v>0</v>
      </c>
      <c r="AE59" s="401">
        <f t="shared" si="21"/>
        <v>0</v>
      </c>
    </row>
    <row r="60" spans="1:31" ht="12.75" customHeight="1">
      <c r="A60" s="77"/>
      <c r="B60" s="256" t="s">
        <v>22</v>
      </c>
      <c r="C60" s="241"/>
      <c r="D60" s="254" t="s">
        <v>144</v>
      </c>
      <c r="E60" s="233" t="s">
        <v>195</v>
      </c>
      <c r="F60" s="233"/>
      <c r="G60" s="233"/>
      <c r="H60" s="284" t="s">
        <v>9</v>
      </c>
      <c r="I60" s="234">
        <v>1</v>
      </c>
      <c r="J60" s="235">
        <f t="shared" si="20"/>
        <v>1</v>
      </c>
      <c r="K60" s="236">
        <f t="shared" si="0"/>
        <v>1.1000000000000001E-3</v>
      </c>
      <c r="L60" s="237">
        <f t="shared" si="1"/>
        <v>1.1000000000000001E-3</v>
      </c>
      <c r="M60" s="375">
        <v>1100</v>
      </c>
      <c r="N60" s="376">
        <f t="shared" si="2"/>
        <v>1100</v>
      </c>
      <c r="O60" s="376">
        <f t="shared" si="3"/>
        <v>1100</v>
      </c>
      <c r="P60" s="377">
        <f t="shared" si="4"/>
        <v>0</v>
      </c>
      <c r="Q60" s="79"/>
      <c r="R60" s="386"/>
      <c r="S60" s="249">
        <f t="shared" si="5"/>
        <v>41462.839999999997</v>
      </c>
      <c r="T60" s="250">
        <f t="shared" si="6"/>
        <v>0</v>
      </c>
      <c r="U60" s="249">
        <f t="shared" si="7"/>
        <v>41462.839999999997</v>
      </c>
      <c r="V60" s="250">
        <f t="shared" si="8"/>
        <v>0</v>
      </c>
      <c r="X60" s="78">
        <f t="shared" si="15"/>
        <v>1</v>
      </c>
      <c r="Y60" s="81">
        <f t="shared" si="10"/>
        <v>1</v>
      </c>
      <c r="AA60" s="400">
        <f t="shared" si="13"/>
        <v>0</v>
      </c>
      <c r="AB60" s="396">
        <f t="shared" si="21"/>
        <v>1</v>
      </c>
      <c r="AC60" s="396">
        <f t="shared" si="21"/>
        <v>0</v>
      </c>
      <c r="AD60" s="396">
        <f t="shared" si="21"/>
        <v>0</v>
      </c>
      <c r="AE60" s="401">
        <f t="shared" si="21"/>
        <v>0</v>
      </c>
    </row>
    <row r="61" spans="1:31" ht="12.75" customHeight="1">
      <c r="A61" s="77"/>
      <c r="B61" s="256" t="s">
        <v>22</v>
      </c>
      <c r="C61" s="241"/>
      <c r="D61" s="254" t="s">
        <v>144</v>
      </c>
      <c r="E61" s="233" t="s">
        <v>196</v>
      </c>
      <c r="F61" s="233"/>
      <c r="G61" s="233"/>
      <c r="H61" s="284" t="s">
        <v>9</v>
      </c>
      <c r="I61" s="234">
        <v>0</v>
      </c>
      <c r="J61" s="235">
        <f t="shared" si="20"/>
        <v>0</v>
      </c>
      <c r="K61" s="236">
        <f t="shared" si="0"/>
        <v>0</v>
      </c>
      <c r="L61" s="237">
        <f t="shared" si="1"/>
        <v>0</v>
      </c>
      <c r="M61" s="375">
        <v>1350</v>
      </c>
      <c r="N61" s="376">
        <f t="shared" si="2"/>
        <v>0</v>
      </c>
      <c r="O61" s="376">
        <f t="shared" si="3"/>
        <v>0</v>
      </c>
      <c r="P61" s="377">
        <f t="shared" si="4"/>
        <v>0</v>
      </c>
      <c r="Q61" s="79"/>
      <c r="R61" s="386"/>
      <c r="S61" s="249">
        <f t="shared" si="5"/>
        <v>40362.839999999997</v>
      </c>
      <c r="T61" s="250">
        <f t="shared" si="6"/>
        <v>0</v>
      </c>
      <c r="U61" s="249">
        <f t="shared" si="7"/>
        <v>40362.839999999997</v>
      </c>
      <c r="V61" s="250">
        <f t="shared" si="8"/>
        <v>0</v>
      </c>
      <c r="X61" s="78">
        <f t="shared" si="15"/>
        <v>0</v>
      </c>
      <c r="Y61" s="81">
        <f t="shared" si="10"/>
        <v>0</v>
      </c>
      <c r="AA61" s="400">
        <f t="shared" si="13"/>
        <v>0</v>
      </c>
      <c r="AB61" s="396">
        <f t="shared" si="21"/>
        <v>0</v>
      </c>
      <c r="AC61" s="396">
        <f t="shared" si="21"/>
        <v>0</v>
      </c>
      <c r="AD61" s="396">
        <f t="shared" si="21"/>
        <v>0</v>
      </c>
      <c r="AE61" s="401">
        <f t="shared" si="21"/>
        <v>0</v>
      </c>
    </row>
    <row r="62" spans="1:31" ht="12.75" customHeight="1" thickBot="1">
      <c r="A62" s="77"/>
      <c r="B62" s="256" t="s">
        <v>22</v>
      </c>
      <c r="C62" s="241"/>
      <c r="D62" s="254" t="s">
        <v>145</v>
      </c>
      <c r="E62" s="233" t="s">
        <v>197</v>
      </c>
      <c r="F62" s="233"/>
      <c r="G62" s="233"/>
      <c r="H62" s="284" t="s">
        <v>12</v>
      </c>
      <c r="I62" s="234">
        <v>492.47</v>
      </c>
      <c r="J62" s="235">
        <f t="shared" si="20"/>
        <v>1</v>
      </c>
      <c r="K62" s="236">
        <f t="shared" si="0"/>
        <v>4.1399999999999999E-2</v>
      </c>
      <c r="L62" s="237">
        <f t="shared" si="1"/>
        <v>4.1399999999999999E-2</v>
      </c>
      <c r="M62" s="375">
        <v>81.96</v>
      </c>
      <c r="N62" s="376">
        <f t="shared" si="2"/>
        <v>40362.839999999997</v>
      </c>
      <c r="O62" s="376">
        <f t="shared" si="3"/>
        <v>40362.839999999997</v>
      </c>
      <c r="P62" s="377">
        <f t="shared" si="4"/>
        <v>0</v>
      </c>
      <c r="Q62" s="79"/>
      <c r="R62" s="386"/>
      <c r="S62" s="249">
        <f t="shared" si="5"/>
        <v>40362.839999999997</v>
      </c>
      <c r="T62" s="250">
        <f t="shared" si="6"/>
        <v>0</v>
      </c>
      <c r="U62" s="249">
        <f t="shared" si="7"/>
        <v>40362.839999999997</v>
      </c>
      <c r="V62" s="250">
        <f t="shared" si="8"/>
        <v>0</v>
      </c>
      <c r="X62" s="78">
        <f t="shared" si="15"/>
        <v>492.47</v>
      </c>
      <c r="Y62" s="81">
        <f t="shared" si="10"/>
        <v>1</v>
      </c>
      <c r="Z62" s="385"/>
      <c r="AA62" s="402">
        <f t="shared" si="13"/>
        <v>0</v>
      </c>
      <c r="AB62" s="403">
        <f t="shared" si="21"/>
        <v>481.73</v>
      </c>
      <c r="AC62" s="403">
        <f t="shared" si="21"/>
        <v>10.74</v>
      </c>
      <c r="AD62" s="403">
        <f t="shared" si="21"/>
        <v>0</v>
      </c>
      <c r="AE62" s="404">
        <f t="shared" si="21"/>
        <v>0</v>
      </c>
    </row>
    <row r="63" spans="1:31" ht="12.75" customHeight="1" thickBot="1">
      <c r="A63" s="77"/>
      <c r="B63" s="256" t="s">
        <v>22</v>
      </c>
      <c r="C63" s="241">
        <v>9</v>
      </c>
      <c r="D63" s="254"/>
      <c r="E63" s="365" t="s">
        <v>198</v>
      </c>
      <c r="F63" s="233"/>
      <c r="G63" s="233"/>
      <c r="H63" s="284" t="s">
        <v>207</v>
      </c>
      <c r="I63" s="234"/>
      <c r="J63" s="235"/>
      <c r="K63" s="236">
        <f t="shared" si="0"/>
        <v>0</v>
      </c>
      <c r="L63" s="237">
        <f t="shared" si="1"/>
        <v>0</v>
      </c>
      <c r="M63" s="375"/>
      <c r="N63" s="376">
        <f t="shared" si="2"/>
        <v>0</v>
      </c>
      <c r="O63" s="376">
        <f t="shared" si="3"/>
        <v>0</v>
      </c>
      <c r="P63" s="377">
        <f t="shared" si="4"/>
        <v>0</v>
      </c>
      <c r="Q63" s="79"/>
      <c r="R63" s="80"/>
      <c r="S63" s="249">
        <f t="shared" si="5"/>
        <v>0</v>
      </c>
      <c r="T63" s="250">
        <f t="shared" si="6"/>
        <v>14805.02</v>
      </c>
      <c r="U63" s="249">
        <f t="shared" si="7"/>
        <v>0</v>
      </c>
      <c r="V63" s="250">
        <f t="shared" si="8"/>
        <v>14944.02</v>
      </c>
      <c r="X63" s="78"/>
      <c r="Y63" s="81"/>
      <c r="Z63" s="385"/>
      <c r="AA63" s="394"/>
      <c r="AB63" s="394"/>
      <c r="AC63" s="394"/>
      <c r="AD63" s="394"/>
      <c r="AE63" s="394"/>
    </row>
    <row r="64" spans="1:31" ht="12.75" customHeight="1">
      <c r="A64" s="77"/>
      <c r="B64" s="256" t="s">
        <v>22</v>
      </c>
      <c r="C64" s="241"/>
      <c r="D64" s="254" t="s">
        <v>146</v>
      </c>
      <c r="E64" s="233" t="s">
        <v>199</v>
      </c>
      <c r="F64" s="233"/>
      <c r="G64" s="233"/>
      <c r="H64" s="284" t="s">
        <v>9</v>
      </c>
      <c r="I64" s="234">
        <v>6</v>
      </c>
      <c r="J64" s="235">
        <f t="shared" ref="J64:J71" si="22">Y64</f>
        <v>0.83333333333333337</v>
      </c>
      <c r="K64" s="236">
        <f t="shared" si="0"/>
        <v>8.9999999999999998E-4</v>
      </c>
      <c r="L64" s="237">
        <f t="shared" si="1"/>
        <v>8.0000000000000004E-4</v>
      </c>
      <c r="M64" s="375">
        <v>139</v>
      </c>
      <c r="N64" s="376">
        <f t="shared" si="2"/>
        <v>695</v>
      </c>
      <c r="O64" s="376">
        <f t="shared" si="3"/>
        <v>834</v>
      </c>
      <c r="P64" s="377">
        <f t="shared" si="4"/>
        <v>139</v>
      </c>
      <c r="Q64" s="79"/>
      <c r="R64" s="80"/>
      <c r="S64" s="249">
        <f t="shared" si="5"/>
        <v>14805.02</v>
      </c>
      <c r="T64" s="250">
        <f t="shared" si="6"/>
        <v>0</v>
      </c>
      <c r="U64" s="249">
        <f t="shared" si="7"/>
        <v>14944.02</v>
      </c>
      <c r="V64" s="250">
        <f t="shared" si="8"/>
        <v>0</v>
      </c>
      <c r="X64" s="78">
        <f t="shared" si="15"/>
        <v>5</v>
      </c>
      <c r="Y64" s="81">
        <f t="shared" si="10"/>
        <v>0.83333333333333337</v>
      </c>
      <c r="Z64" s="385"/>
      <c r="AA64" s="397">
        <f t="shared" si="13"/>
        <v>0</v>
      </c>
      <c r="AB64" s="398">
        <f t="shared" si="21"/>
        <v>0</v>
      </c>
      <c r="AC64" s="398">
        <f t="shared" si="21"/>
        <v>5</v>
      </c>
      <c r="AD64" s="398">
        <f t="shared" si="21"/>
        <v>0</v>
      </c>
      <c r="AE64" s="399">
        <f t="shared" si="21"/>
        <v>0</v>
      </c>
    </row>
    <row r="65" spans="1:31" ht="12.75" customHeight="1">
      <c r="A65" s="77"/>
      <c r="B65" s="256" t="s">
        <v>22</v>
      </c>
      <c r="C65" s="241"/>
      <c r="D65" s="254" t="s">
        <v>146</v>
      </c>
      <c r="E65" s="233" t="s">
        <v>200</v>
      </c>
      <c r="F65" s="233"/>
      <c r="G65" s="233"/>
      <c r="H65" s="284" t="s">
        <v>9</v>
      </c>
      <c r="I65" s="234">
        <v>15</v>
      </c>
      <c r="J65" s="235">
        <f t="shared" si="22"/>
        <v>1</v>
      </c>
      <c r="K65" s="236">
        <f t="shared" si="0"/>
        <v>2.0999999999999999E-3</v>
      </c>
      <c r="L65" s="237">
        <f t="shared" si="1"/>
        <v>2.0999999999999999E-3</v>
      </c>
      <c r="M65" s="375">
        <v>139</v>
      </c>
      <c r="N65" s="376">
        <f t="shared" si="2"/>
        <v>2085</v>
      </c>
      <c r="O65" s="376">
        <f t="shared" si="3"/>
        <v>2085</v>
      </c>
      <c r="P65" s="377">
        <f t="shared" si="4"/>
        <v>0</v>
      </c>
      <c r="Q65" s="79"/>
      <c r="R65" s="80"/>
      <c r="S65" s="249">
        <f t="shared" si="5"/>
        <v>14110.02</v>
      </c>
      <c r="T65" s="250">
        <f t="shared" si="6"/>
        <v>0</v>
      </c>
      <c r="U65" s="249">
        <f t="shared" si="7"/>
        <v>14110.02</v>
      </c>
      <c r="V65" s="250">
        <f t="shared" si="8"/>
        <v>0</v>
      </c>
      <c r="X65" s="78">
        <f t="shared" si="15"/>
        <v>15</v>
      </c>
      <c r="Y65" s="81">
        <f t="shared" si="10"/>
        <v>1</v>
      </c>
      <c r="Z65" s="385"/>
      <c r="AA65" s="400">
        <f t="shared" si="13"/>
        <v>2</v>
      </c>
      <c r="AB65" s="396">
        <f t="shared" si="21"/>
        <v>3</v>
      </c>
      <c r="AC65" s="396">
        <f t="shared" si="21"/>
        <v>10</v>
      </c>
      <c r="AD65" s="396">
        <f t="shared" si="21"/>
        <v>0</v>
      </c>
      <c r="AE65" s="401">
        <f t="shared" si="21"/>
        <v>0</v>
      </c>
    </row>
    <row r="66" spans="1:31" ht="12.75" customHeight="1">
      <c r="A66" s="77"/>
      <c r="B66" s="256" t="s">
        <v>22</v>
      </c>
      <c r="C66" s="241"/>
      <c r="D66" s="254" t="s">
        <v>147</v>
      </c>
      <c r="E66" s="233" t="s">
        <v>201</v>
      </c>
      <c r="F66" s="233"/>
      <c r="G66" s="233"/>
      <c r="H66" s="284" t="s">
        <v>9</v>
      </c>
      <c r="I66" s="234">
        <v>10</v>
      </c>
      <c r="J66" s="235">
        <f t="shared" si="22"/>
        <v>1</v>
      </c>
      <c r="K66" s="236">
        <f t="shared" si="0"/>
        <v>1.4E-3</v>
      </c>
      <c r="L66" s="237">
        <f t="shared" si="1"/>
        <v>1.4E-3</v>
      </c>
      <c r="M66" s="375">
        <v>140</v>
      </c>
      <c r="N66" s="376">
        <f t="shared" si="2"/>
        <v>1400</v>
      </c>
      <c r="O66" s="376">
        <f t="shared" si="3"/>
        <v>1400</v>
      </c>
      <c r="P66" s="377">
        <f t="shared" si="4"/>
        <v>0</v>
      </c>
      <c r="Q66" s="79"/>
      <c r="R66" s="80"/>
      <c r="S66" s="249">
        <f t="shared" si="5"/>
        <v>12025.02</v>
      </c>
      <c r="T66" s="250">
        <f t="shared" si="6"/>
        <v>0</v>
      </c>
      <c r="U66" s="249">
        <f t="shared" si="7"/>
        <v>12025.02</v>
      </c>
      <c r="V66" s="250">
        <f t="shared" si="8"/>
        <v>0</v>
      </c>
      <c r="X66" s="78">
        <f t="shared" si="15"/>
        <v>10</v>
      </c>
      <c r="Y66" s="81">
        <f t="shared" si="10"/>
        <v>1</v>
      </c>
      <c r="AA66" s="400">
        <f t="shared" si="13"/>
        <v>2</v>
      </c>
      <c r="AB66" s="396">
        <f t="shared" si="21"/>
        <v>3</v>
      </c>
      <c r="AC66" s="396">
        <f t="shared" si="21"/>
        <v>5</v>
      </c>
      <c r="AD66" s="396">
        <f t="shared" si="21"/>
        <v>0</v>
      </c>
      <c r="AE66" s="401">
        <f t="shared" si="21"/>
        <v>0</v>
      </c>
    </row>
    <row r="67" spans="1:31" ht="12.75" customHeight="1">
      <c r="A67" s="77"/>
      <c r="B67" s="256" t="s">
        <v>22</v>
      </c>
      <c r="C67" s="241"/>
      <c r="D67" s="254" t="s">
        <v>148</v>
      </c>
      <c r="E67" s="233" t="s">
        <v>202</v>
      </c>
      <c r="F67" s="233"/>
      <c r="G67" s="233"/>
      <c r="H67" s="284" t="s">
        <v>9</v>
      </c>
      <c r="I67" s="234">
        <v>10</v>
      </c>
      <c r="J67" s="235">
        <f t="shared" si="22"/>
        <v>1</v>
      </c>
      <c r="K67" s="236">
        <f t="shared" si="0"/>
        <v>1.6999999999999999E-3</v>
      </c>
      <c r="L67" s="237">
        <f t="shared" si="1"/>
        <v>1.6999999999999999E-3</v>
      </c>
      <c r="M67" s="375">
        <v>170</v>
      </c>
      <c r="N67" s="376">
        <f t="shared" si="2"/>
        <v>1700</v>
      </c>
      <c r="O67" s="376">
        <f t="shared" si="3"/>
        <v>1700</v>
      </c>
      <c r="P67" s="377">
        <f t="shared" si="4"/>
        <v>0</v>
      </c>
      <c r="Q67" s="79"/>
      <c r="R67" s="80"/>
      <c r="S67" s="249">
        <f t="shared" si="5"/>
        <v>10625.02</v>
      </c>
      <c r="T67" s="250">
        <f t="shared" si="6"/>
        <v>0</v>
      </c>
      <c r="U67" s="249">
        <f t="shared" si="7"/>
        <v>10625.02</v>
      </c>
      <c r="V67" s="250">
        <f t="shared" si="8"/>
        <v>0</v>
      </c>
      <c r="X67" s="78">
        <f t="shared" si="15"/>
        <v>10</v>
      </c>
      <c r="Y67" s="81">
        <f t="shared" si="10"/>
        <v>1</v>
      </c>
      <c r="AA67" s="400">
        <f t="shared" si="13"/>
        <v>2</v>
      </c>
      <c r="AB67" s="396">
        <f t="shared" si="21"/>
        <v>3</v>
      </c>
      <c r="AC67" s="396">
        <f t="shared" si="21"/>
        <v>5</v>
      </c>
      <c r="AD67" s="396">
        <f t="shared" si="21"/>
        <v>0</v>
      </c>
      <c r="AE67" s="401">
        <f t="shared" si="21"/>
        <v>0</v>
      </c>
    </row>
    <row r="68" spans="1:31" ht="12.75" customHeight="1">
      <c r="A68" s="77"/>
      <c r="B68" s="256" t="s">
        <v>22</v>
      </c>
      <c r="C68" s="241"/>
      <c r="D68" s="254" t="s">
        <v>149</v>
      </c>
      <c r="E68" s="233" t="s">
        <v>203</v>
      </c>
      <c r="F68" s="233"/>
      <c r="G68" s="233"/>
      <c r="H68" s="284" t="s">
        <v>9</v>
      </c>
      <c r="I68" s="234">
        <v>10</v>
      </c>
      <c r="J68" s="235">
        <f t="shared" si="22"/>
        <v>1</v>
      </c>
      <c r="K68" s="236">
        <f t="shared" si="0"/>
        <v>1E-3</v>
      </c>
      <c r="L68" s="237">
        <f t="shared" si="1"/>
        <v>1E-3</v>
      </c>
      <c r="M68" s="375">
        <v>100</v>
      </c>
      <c r="N68" s="376">
        <f t="shared" si="2"/>
        <v>1000</v>
      </c>
      <c r="O68" s="376">
        <f t="shared" si="3"/>
        <v>1000</v>
      </c>
      <c r="P68" s="377">
        <f t="shared" si="4"/>
        <v>0</v>
      </c>
      <c r="Q68" s="79"/>
      <c r="R68" s="368"/>
      <c r="S68" s="249">
        <f t="shared" si="5"/>
        <v>8925.02</v>
      </c>
      <c r="T68" s="250">
        <f t="shared" si="6"/>
        <v>0</v>
      </c>
      <c r="U68" s="249">
        <f t="shared" si="7"/>
        <v>8925.02</v>
      </c>
      <c r="V68" s="250">
        <f t="shared" si="8"/>
        <v>0</v>
      </c>
      <c r="X68" s="78">
        <f t="shared" si="15"/>
        <v>10</v>
      </c>
      <c r="Y68" s="81">
        <f t="shared" si="10"/>
        <v>1</v>
      </c>
      <c r="AA68" s="400">
        <f t="shared" si="13"/>
        <v>2</v>
      </c>
      <c r="AB68" s="396">
        <f t="shared" si="21"/>
        <v>3</v>
      </c>
      <c r="AC68" s="396">
        <f t="shared" si="21"/>
        <v>5</v>
      </c>
      <c r="AD68" s="396">
        <f t="shared" si="21"/>
        <v>0</v>
      </c>
      <c r="AE68" s="401">
        <f t="shared" si="21"/>
        <v>0</v>
      </c>
    </row>
    <row r="69" spans="1:31" ht="12.75" customHeight="1">
      <c r="A69" s="77"/>
      <c r="B69" s="256" t="s">
        <v>22</v>
      </c>
      <c r="C69" s="241"/>
      <c r="D69" s="254" t="s">
        <v>150</v>
      </c>
      <c r="E69" s="233" t="s">
        <v>204</v>
      </c>
      <c r="F69" s="233"/>
      <c r="G69" s="233"/>
      <c r="H69" s="284" t="s">
        <v>9</v>
      </c>
      <c r="I69" s="234">
        <v>10</v>
      </c>
      <c r="J69" s="235">
        <f t="shared" si="22"/>
        <v>1</v>
      </c>
      <c r="K69" s="236">
        <f t="shared" si="0"/>
        <v>8.0000000000000004E-4</v>
      </c>
      <c r="L69" s="237">
        <f t="shared" si="1"/>
        <v>8.0000000000000004E-4</v>
      </c>
      <c r="M69" s="375">
        <v>81</v>
      </c>
      <c r="N69" s="376">
        <f t="shared" si="2"/>
        <v>810</v>
      </c>
      <c r="O69" s="376">
        <f t="shared" si="3"/>
        <v>810</v>
      </c>
      <c r="P69" s="377">
        <f t="shared" si="4"/>
        <v>0</v>
      </c>
      <c r="Q69" s="79"/>
      <c r="R69" s="368"/>
      <c r="S69" s="249">
        <f t="shared" si="5"/>
        <v>7925.02</v>
      </c>
      <c r="T69" s="250">
        <f t="shared" si="6"/>
        <v>0</v>
      </c>
      <c r="U69" s="249">
        <f t="shared" si="7"/>
        <v>7925.02</v>
      </c>
      <c r="V69" s="250">
        <f t="shared" si="8"/>
        <v>0</v>
      </c>
      <c r="X69" s="78">
        <f t="shared" si="15"/>
        <v>10</v>
      </c>
      <c r="Y69" s="81">
        <f t="shared" si="10"/>
        <v>1</v>
      </c>
      <c r="AA69" s="400">
        <f t="shared" si="13"/>
        <v>2</v>
      </c>
      <c r="AB69" s="396">
        <f t="shared" si="21"/>
        <v>3</v>
      </c>
      <c r="AC69" s="396">
        <f t="shared" si="21"/>
        <v>5</v>
      </c>
      <c r="AD69" s="396">
        <f t="shared" si="21"/>
        <v>0</v>
      </c>
      <c r="AE69" s="401">
        <f t="shared" si="21"/>
        <v>0</v>
      </c>
    </row>
    <row r="70" spans="1:31" ht="12.75" customHeight="1">
      <c r="A70" s="77"/>
      <c r="B70" s="256" t="s">
        <v>22</v>
      </c>
      <c r="C70" s="241"/>
      <c r="D70" s="254" t="s">
        <v>151</v>
      </c>
      <c r="E70" s="233" t="s">
        <v>205</v>
      </c>
      <c r="F70" s="233"/>
      <c r="G70" s="233"/>
      <c r="H70" s="284" t="s">
        <v>9</v>
      </c>
      <c r="I70" s="234">
        <v>10</v>
      </c>
      <c r="J70" s="235">
        <f t="shared" si="22"/>
        <v>1</v>
      </c>
      <c r="K70" s="236">
        <f t="shared" si="0"/>
        <v>1.2999999999999999E-3</v>
      </c>
      <c r="L70" s="237">
        <f t="shared" si="1"/>
        <v>1.2999999999999999E-3</v>
      </c>
      <c r="M70" s="375">
        <v>131.5</v>
      </c>
      <c r="N70" s="376">
        <f t="shared" si="2"/>
        <v>1315</v>
      </c>
      <c r="O70" s="376">
        <f t="shared" si="3"/>
        <v>1315</v>
      </c>
      <c r="P70" s="377">
        <f t="shared" si="4"/>
        <v>0</v>
      </c>
      <c r="Q70" s="79"/>
      <c r="R70" s="368"/>
      <c r="S70" s="249">
        <f t="shared" si="5"/>
        <v>7115.02</v>
      </c>
      <c r="T70" s="250">
        <f t="shared" si="6"/>
        <v>0</v>
      </c>
      <c r="U70" s="249">
        <f t="shared" si="7"/>
        <v>7115.02</v>
      </c>
      <c r="V70" s="250">
        <f t="shared" si="8"/>
        <v>0</v>
      </c>
      <c r="X70" s="78">
        <f t="shared" si="15"/>
        <v>10</v>
      </c>
      <c r="Y70" s="81">
        <f t="shared" si="10"/>
        <v>1</v>
      </c>
      <c r="AA70" s="400">
        <f t="shared" si="13"/>
        <v>2</v>
      </c>
      <c r="AB70" s="396">
        <f t="shared" si="21"/>
        <v>3</v>
      </c>
      <c r="AC70" s="396">
        <f t="shared" si="21"/>
        <v>5</v>
      </c>
      <c r="AD70" s="396">
        <f t="shared" si="21"/>
        <v>0</v>
      </c>
      <c r="AE70" s="401">
        <f t="shared" si="21"/>
        <v>0</v>
      </c>
    </row>
    <row r="71" spans="1:31" ht="12.75" customHeight="1" thickBot="1">
      <c r="A71" s="77"/>
      <c r="B71" s="256" t="s">
        <v>22</v>
      </c>
      <c r="C71" s="241"/>
      <c r="D71" s="254" t="s">
        <v>152</v>
      </c>
      <c r="E71" s="233" t="s">
        <v>206</v>
      </c>
      <c r="F71" s="233"/>
      <c r="G71" s="233"/>
      <c r="H71" s="284" t="s">
        <v>14</v>
      </c>
      <c r="I71" s="234">
        <v>1</v>
      </c>
      <c r="J71" s="235">
        <f t="shared" si="22"/>
        <v>1</v>
      </c>
      <c r="K71" s="236">
        <f t="shared" si="0"/>
        <v>5.8999999999999999E-3</v>
      </c>
      <c r="L71" s="237">
        <f t="shared" si="1"/>
        <v>5.8999999999999999E-3</v>
      </c>
      <c r="M71" s="375">
        <v>5800.02</v>
      </c>
      <c r="N71" s="376">
        <f t="shared" si="2"/>
        <v>5800.02</v>
      </c>
      <c r="O71" s="376">
        <f t="shared" si="3"/>
        <v>5800.02</v>
      </c>
      <c r="P71" s="377">
        <f t="shared" si="4"/>
        <v>0</v>
      </c>
      <c r="Q71" s="79"/>
      <c r="R71" s="368"/>
      <c r="S71" s="249">
        <f t="shared" si="5"/>
        <v>5800.02</v>
      </c>
      <c r="T71" s="250">
        <f t="shared" si="6"/>
        <v>0</v>
      </c>
      <c r="U71" s="249">
        <f t="shared" si="7"/>
        <v>5800.02</v>
      </c>
      <c r="V71" s="250">
        <f t="shared" si="8"/>
        <v>0</v>
      </c>
      <c r="X71" s="78">
        <f t="shared" si="15"/>
        <v>1</v>
      </c>
      <c r="Y71" s="81">
        <f t="shared" si="10"/>
        <v>1</v>
      </c>
      <c r="AA71" s="400">
        <f t="shared" si="13"/>
        <v>0</v>
      </c>
      <c r="AB71" s="396">
        <f t="shared" si="21"/>
        <v>0</v>
      </c>
      <c r="AC71" s="396">
        <f t="shared" si="21"/>
        <v>1</v>
      </c>
      <c r="AD71" s="396">
        <f t="shared" si="21"/>
        <v>0</v>
      </c>
      <c r="AE71" s="401">
        <f t="shared" si="21"/>
        <v>0</v>
      </c>
    </row>
    <row r="72" spans="1:31" ht="12.75" customHeight="1" thickTop="1" thickBot="1">
      <c r="A72" s="77"/>
      <c r="B72" s="256" t="s">
        <v>22</v>
      </c>
      <c r="C72" s="232">
        <v>1</v>
      </c>
      <c r="D72" s="1"/>
      <c r="E72" s="371" t="s">
        <v>215</v>
      </c>
      <c r="F72" s="372"/>
      <c r="G72" s="372"/>
      <c r="H72" s="284"/>
      <c r="I72" s="234"/>
      <c r="J72" s="235"/>
      <c r="K72" s="236">
        <f>IF(ISBLANK(total),0,IF((A72)="cima",ROUNDUP(O72/total,4),IF((A72)="baixo",ROUNDDOWN(O72/total,4),ROUND(O72/total,4))))</f>
        <v>0</v>
      </c>
      <c r="L72" s="237">
        <f>IF(I72=0,0,IF(J72&gt;100%,"excesso",IF(ISNUMBER(J72),ROUND(J72*K72,4),IF(J72="&lt;excesso",ROUND(100%*K72,4),0))))</f>
        <v>0</v>
      </c>
      <c r="M72" s="375"/>
      <c r="N72" s="376">
        <f>IF(J72&gt;100%,O72,IF(ISBLANK(I72),0,IF((R72)="cima",ROUNDUP(J72*O72,2),IF((R72)="baixo",ROUNDDOWN(J72*O72,2),ROUND(J72*O72,2)))))</f>
        <v>0</v>
      </c>
      <c r="O72" s="376">
        <f>IF((R72)="cima",ROUNDUP(I72*M72,2),IF((R72)="baixo",ROUNDDOWN(I72*M72,2),ROUND(I72*M72,2)))</f>
        <v>0</v>
      </c>
      <c r="P72" s="377">
        <f>O72-N72</f>
        <v>0</v>
      </c>
      <c r="Q72" s="79"/>
      <c r="R72" s="80"/>
      <c r="S72" s="249">
        <f>IF(ISBLANK(I72),0,S73+N72)</f>
        <v>0</v>
      </c>
      <c r="T72" s="250">
        <f>IF(ISBLANK(I72),S73,0)</f>
        <v>0</v>
      </c>
      <c r="U72" s="249">
        <f>IF(ISBLANK(I72),0,U73+O72)</f>
        <v>0</v>
      </c>
      <c r="V72" s="250">
        <f>IF(ISBLANK(I72),U73,0)</f>
        <v>0</v>
      </c>
      <c r="X72" s="78"/>
      <c r="Y72" s="81"/>
      <c r="AA72" s="408"/>
      <c r="AB72" s="409"/>
      <c r="AC72" s="409"/>
      <c r="AD72" s="409"/>
      <c r="AE72" s="410"/>
    </row>
    <row r="73" spans="1:31" ht="12.75" customHeight="1" thickTop="1" thickBot="1">
      <c r="A73" s="77"/>
      <c r="B73" s="256" t="s">
        <v>22</v>
      </c>
      <c r="C73" s="232">
        <v>1</v>
      </c>
      <c r="D73" s="1"/>
      <c r="E73" s="365" t="s">
        <v>29</v>
      </c>
      <c r="F73" s="233"/>
      <c r="G73" s="233"/>
      <c r="H73" s="284"/>
      <c r="I73" s="234"/>
      <c r="J73" s="235"/>
      <c r="K73" s="236">
        <f>IF(ISBLANK(total),0,IF((A73)="cima",ROUNDUP(O73/total,4),IF((A73)="baixo",ROUNDDOWN(O73/total,4),ROUND(O73/total,4))))</f>
        <v>0</v>
      </c>
      <c r="L73" s="237">
        <f>IF(I73=0,0,IF(J73&gt;100%,"excesso",IF(ISNUMBER(J73),ROUND(J73*K73,4),IF(J73="&lt;excesso",ROUND(100%*K73,4),0))))</f>
        <v>0</v>
      </c>
      <c r="M73" s="375"/>
      <c r="N73" s="376">
        <f>IF(J73&gt;100%,O73,IF(ISBLANK(I73),0,IF((R73)="cima",ROUNDUP(J73*O73,2),IF((R73)="baixo",ROUNDDOWN(J73*O73,2),ROUND(J73*O73,2)))))</f>
        <v>0</v>
      </c>
      <c r="O73" s="376">
        <f>IF((R73)="cima",ROUNDUP(I73*M73,2),IF((R73)="baixo",ROUNDDOWN(I73*M73,2),ROUND(I73*M73,2)))</f>
        <v>0</v>
      </c>
      <c r="P73" s="377">
        <f>O73-N73</f>
        <v>0</v>
      </c>
      <c r="Q73" s="79"/>
      <c r="R73" s="80"/>
      <c r="S73" s="249"/>
      <c r="T73" s="250"/>
      <c r="U73" s="249"/>
      <c r="V73" s="250"/>
      <c r="X73" s="78"/>
      <c r="Y73" s="81"/>
      <c r="AA73" s="394"/>
      <c r="AB73" s="394"/>
      <c r="AC73" s="394"/>
      <c r="AD73" s="394"/>
      <c r="AE73" s="394"/>
    </row>
    <row r="74" spans="1:31" ht="12.75" customHeight="1" thickBot="1">
      <c r="A74" s="77"/>
      <c r="B74" s="256" t="s">
        <v>22</v>
      </c>
      <c r="C74" s="241"/>
      <c r="D74" s="1" t="s">
        <v>121</v>
      </c>
      <c r="E74" s="233" t="s">
        <v>153</v>
      </c>
      <c r="F74" s="233"/>
      <c r="G74" s="233"/>
      <c r="H74" s="284" t="s">
        <v>9</v>
      </c>
      <c r="I74" s="234"/>
      <c r="J74" s="235">
        <f>Y74</f>
        <v>0</v>
      </c>
      <c r="K74" s="236">
        <f t="shared" ref="K74:K135" si="23">IF(ISBLANK(total),0,IF((A74)="cima",ROUNDUP(O74/total,4),IF((A74)="baixo",ROUNDDOWN(O74/total,4),ROUND(O74/total,4))))</f>
        <v>0</v>
      </c>
      <c r="L74" s="237">
        <f t="shared" ref="L74:L135" si="24">IF(I74=0,0,IF(J74&gt;100%,"excesso",IF(ISNUMBER(J74),ROUND(J74*K74,4),IF(J74="&lt;excesso",ROUND(100%*K74,4),0))))</f>
        <v>0</v>
      </c>
      <c r="M74" s="375">
        <v>2100</v>
      </c>
      <c r="N74" s="376"/>
      <c r="O74" s="376"/>
      <c r="P74" s="377"/>
      <c r="Q74" s="79"/>
      <c r="R74" s="80"/>
      <c r="S74" s="249"/>
      <c r="T74" s="250"/>
      <c r="U74" s="249"/>
      <c r="V74" s="250"/>
      <c r="X74" s="390">
        <f>AA74+AB74+AC74+AD74+AE74</f>
        <v>0</v>
      </c>
      <c r="Y74" s="81">
        <f t="shared" ref="Y74:Y135" si="25">IF(I74=0,0,X74/I74)</f>
        <v>0</v>
      </c>
      <c r="AA74" s="405"/>
      <c r="AB74" s="406"/>
      <c r="AC74" s="406"/>
      <c r="AD74" s="406"/>
      <c r="AE74" s="407"/>
    </row>
    <row r="75" spans="1:31" ht="12.75" customHeight="1" thickBot="1">
      <c r="A75" s="77"/>
      <c r="B75" s="256" t="s">
        <v>22</v>
      </c>
      <c r="C75" s="241">
        <v>2</v>
      </c>
      <c r="D75" s="1"/>
      <c r="E75" s="365" t="s">
        <v>27</v>
      </c>
      <c r="F75" s="233"/>
      <c r="G75" s="233"/>
      <c r="H75" s="284" t="s">
        <v>207</v>
      </c>
      <c r="I75" s="234"/>
      <c r="J75" s="235"/>
      <c r="K75" s="236">
        <f t="shared" si="23"/>
        <v>0</v>
      </c>
      <c r="L75" s="237">
        <f t="shared" si="24"/>
        <v>0</v>
      </c>
      <c r="M75" s="375"/>
      <c r="N75" s="376"/>
      <c r="O75" s="376"/>
      <c r="P75" s="377"/>
      <c r="Q75" s="79"/>
      <c r="R75" s="80"/>
      <c r="S75" s="249"/>
      <c r="T75" s="250"/>
      <c r="U75" s="249"/>
      <c r="V75" s="250"/>
      <c r="X75" s="390"/>
      <c r="Y75" s="81"/>
      <c r="AA75" s="394"/>
      <c r="AB75" s="394"/>
      <c r="AC75" s="394"/>
      <c r="AD75" s="394"/>
      <c r="AE75" s="394"/>
    </row>
    <row r="76" spans="1:31" ht="12.75" customHeight="1">
      <c r="A76" s="77"/>
      <c r="B76" s="256" t="s">
        <v>22</v>
      </c>
      <c r="C76" s="241"/>
      <c r="D76" s="1">
        <v>401950</v>
      </c>
      <c r="E76" s="233" t="s">
        <v>154</v>
      </c>
      <c r="F76" s="233"/>
      <c r="G76" s="233"/>
      <c r="H76" s="284" t="s">
        <v>12</v>
      </c>
      <c r="I76" s="234">
        <v>16.569999999999993</v>
      </c>
      <c r="J76" s="235">
        <f t="shared" ref="J76:J77" si="26">Y76</f>
        <v>1.0000000000000004</v>
      </c>
      <c r="K76" s="236">
        <f t="shared" si="23"/>
        <v>0</v>
      </c>
      <c r="L76" s="237">
        <f t="shared" si="24"/>
        <v>0</v>
      </c>
      <c r="M76" s="375">
        <v>3.8</v>
      </c>
      <c r="N76" s="376"/>
      <c r="O76" s="376"/>
      <c r="P76" s="377"/>
      <c r="Q76" s="79"/>
      <c r="R76" s="80"/>
      <c r="S76" s="249"/>
      <c r="T76" s="250"/>
      <c r="U76" s="249"/>
      <c r="V76" s="250"/>
      <c r="X76" s="390">
        <f t="shared" ref="X76:X138" si="27">AA76+AB76+AC76+AD76+AE76</f>
        <v>16.57</v>
      </c>
      <c r="Y76" s="81">
        <f t="shared" si="25"/>
        <v>1.0000000000000004</v>
      </c>
      <c r="Z76" s="385"/>
      <c r="AA76" s="397"/>
      <c r="AB76" s="398"/>
      <c r="AC76" s="398">
        <v>16.57</v>
      </c>
      <c r="AD76" s="398"/>
      <c r="AE76" s="399"/>
    </row>
    <row r="77" spans="1:31" ht="12.75" customHeight="1" thickBot="1">
      <c r="A77" s="77"/>
      <c r="B77" s="256" t="s">
        <v>22</v>
      </c>
      <c r="C77" s="241"/>
      <c r="D77" s="1">
        <v>520100</v>
      </c>
      <c r="E77" s="233" t="s">
        <v>155</v>
      </c>
      <c r="F77" s="233"/>
      <c r="G77" s="233"/>
      <c r="H77" s="284" t="s">
        <v>12</v>
      </c>
      <c r="I77" s="234">
        <v>176.16999999999985</v>
      </c>
      <c r="J77" s="235">
        <f t="shared" si="26"/>
        <v>1.0000000000000009</v>
      </c>
      <c r="K77" s="236">
        <f t="shared" si="23"/>
        <v>0</v>
      </c>
      <c r="L77" s="237">
        <f t="shared" si="24"/>
        <v>0</v>
      </c>
      <c r="M77" s="375">
        <v>2.99</v>
      </c>
      <c r="N77" s="376"/>
      <c r="O77" s="376"/>
      <c r="P77" s="377"/>
      <c r="Q77" s="79"/>
      <c r="R77" s="80"/>
      <c r="S77" s="249"/>
      <c r="T77" s="250"/>
      <c r="U77" s="249"/>
      <c r="V77" s="250"/>
      <c r="X77" s="390">
        <f t="shared" si="27"/>
        <v>176.17</v>
      </c>
      <c r="Y77" s="81">
        <f t="shared" si="25"/>
        <v>1.0000000000000009</v>
      </c>
      <c r="Z77" s="385"/>
      <c r="AA77" s="402"/>
      <c r="AB77" s="403"/>
      <c r="AC77" s="403">
        <v>176.17</v>
      </c>
      <c r="AD77" s="403"/>
      <c r="AE77" s="404"/>
    </row>
    <row r="78" spans="1:31" ht="12.75" customHeight="1" thickBot="1">
      <c r="A78" s="77"/>
      <c r="B78" s="256" t="s">
        <v>22</v>
      </c>
      <c r="C78" s="241">
        <v>3</v>
      </c>
      <c r="D78" s="1"/>
      <c r="E78" s="365" t="s">
        <v>26</v>
      </c>
      <c r="F78" s="233"/>
      <c r="G78" s="233"/>
      <c r="H78" s="284" t="s">
        <v>207</v>
      </c>
      <c r="I78" s="234">
        <v>0</v>
      </c>
      <c r="J78" s="235"/>
      <c r="K78" s="236">
        <f t="shared" si="23"/>
        <v>0</v>
      </c>
      <c r="L78" s="237">
        <f t="shared" si="24"/>
        <v>0</v>
      </c>
      <c r="M78" s="375"/>
      <c r="N78" s="376"/>
      <c r="O78" s="376"/>
      <c r="P78" s="377"/>
      <c r="Q78" s="79"/>
      <c r="R78" s="80"/>
      <c r="S78" s="249"/>
      <c r="T78" s="250"/>
      <c r="U78" s="249"/>
      <c r="V78" s="250"/>
      <c r="X78" s="390"/>
      <c r="Y78" s="81">
        <f t="shared" si="25"/>
        <v>0</v>
      </c>
      <c r="Z78" s="385"/>
      <c r="AA78" s="394"/>
      <c r="AB78" s="394"/>
      <c r="AC78" s="394"/>
      <c r="AD78" s="394"/>
      <c r="AE78" s="394"/>
    </row>
    <row r="79" spans="1:31" ht="12.75" customHeight="1">
      <c r="A79" s="77"/>
      <c r="B79" s="256" t="s">
        <v>22</v>
      </c>
      <c r="C79" s="241"/>
      <c r="D79" s="1">
        <v>533100</v>
      </c>
      <c r="E79" s="233" t="s">
        <v>156</v>
      </c>
      <c r="F79" s="233"/>
      <c r="G79" s="233"/>
      <c r="H79" s="284" t="s">
        <v>12</v>
      </c>
      <c r="I79" s="234">
        <v>81.000153633430614</v>
      </c>
      <c r="J79" s="235">
        <f t="shared" ref="J79:J82" si="28">Y79</f>
        <v>1</v>
      </c>
      <c r="K79" s="236">
        <f t="shared" si="23"/>
        <v>0</v>
      </c>
      <c r="L79" s="237">
        <f t="shared" si="24"/>
        <v>0</v>
      </c>
      <c r="M79" s="375">
        <v>65.09</v>
      </c>
      <c r="N79" s="376"/>
      <c r="O79" s="376"/>
      <c r="P79" s="377"/>
      <c r="Q79" s="79"/>
      <c r="R79" s="80"/>
      <c r="S79" s="249"/>
      <c r="T79" s="250"/>
      <c r="U79" s="249"/>
      <c r="V79" s="250"/>
      <c r="X79" s="390">
        <f t="shared" si="27"/>
        <v>81.000153633430614</v>
      </c>
      <c r="Y79" s="81">
        <f t="shared" si="25"/>
        <v>1</v>
      </c>
      <c r="Z79" s="385"/>
      <c r="AA79" s="397"/>
      <c r="AB79" s="398">
        <v>40.5</v>
      </c>
      <c r="AC79" s="398">
        <v>40.500153633430614</v>
      </c>
      <c r="AD79" s="398"/>
      <c r="AE79" s="399"/>
    </row>
    <row r="80" spans="1:31" ht="12.75" customHeight="1">
      <c r="A80" s="77"/>
      <c r="B80" s="256" t="s">
        <v>22</v>
      </c>
      <c r="C80" s="241"/>
      <c r="D80" s="1">
        <v>511100</v>
      </c>
      <c r="E80" s="233" t="s">
        <v>157</v>
      </c>
      <c r="F80" s="233"/>
      <c r="G80" s="233"/>
      <c r="H80" s="284" t="s">
        <v>11</v>
      </c>
      <c r="I80" s="234">
        <v>540</v>
      </c>
      <c r="J80" s="235">
        <f t="shared" si="28"/>
        <v>1</v>
      </c>
      <c r="K80" s="236">
        <f t="shared" si="23"/>
        <v>0</v>
      </c>
      <c r="L80" s="237">
        <f t="shared" si="24"/>
        <v>0</v>
      </c>
      <c r="M80" s="375">
        <v>3.08</v>
      </c>
      <c r="N80" s="376"/>
      <c r="O80" s="376"/>
      <c r="P80" s="377"/>
      <c r="Q80" s="79"/>
      <c r="R80" s="80"/>
      <c r="S80" s="249"/>
      <c r="T80" s="250"/>
      <c r="U80" s="249"/>
      <c r="V80" s="250"/>
      <c r="X80" s="390">
        <f t="shared" si="27"/>
        <v>540</v>
      </c>
      <c r="Y80" s="81">
        <f t="shared" si="25"/>
        <v>1</v>
      </c>
      <c r="Z80" s="385"/>
      <c r="AA80" s="400"/>
      <c r="AB80" s="396">
        <v>270</v>
      </c>
      <c r="AC80" s="396">
        <v>270</v>
      </c>
      <c r="AD80" s="396"/>
      <c r="AE80" s="401"/>
    </row>
    <row r="81" spans="1:31" ht="12.75" customHeight="1">
      <c r="A81" s="77"/>
      <c r="B81" s="256" t="s">
        <v>22</v>
      </c>
      <c r="C81" s="241"/>
      <c r="D81" s="1">
        <v>530200</v>
      </c>
      <c r="E81" s="233" t="s">
        <v>158</v>
      </c>
      <c r="F81" s="233"/>
      <c r="G81" s="233"/>
      <c r="H81" s="284" t="s">
        <v>12</v>
      </c>
      <c r="I81" s="234">
        <v>41.999909510648706</v>
      </c>
      <c r="J81" s="235">
        <f t="shared" si="28"/>
        <v>1</v>
      </c>
      <c r="K81" s="236">
        <f t="shared" si="23"/>
        <v>0</v>
      </c>
      <c r="L81" s="237">
        <f t="shared" si="24"/>
        <v>0</v>
      </c>
      <c r="M81" s="375">
        <v>110.51</v>
      </c>
      <c r="N81" s="376"/>
      <c r="O81" s="376"/>
      <c r="P81" s="377"/>
      <c r="Q81" s="79"/>
      <c r="R81" s="80"/>
      <c r="S81" s="249"/>
      <c r="T81" s="250"/>
      <c r="U81" s="249"/>
      <c r="V81" s="250"/>
      <c r="X81" s="390">
        <f t="shared" si="27"/>
        <v>41.999909510648706</v>
      </c>
      <c r="Y81" s="81">
        <f t="shared" si="25"/>
        <v>1</v>
      </c>
      <c r="Z81" s="385"/>
      <c r="AA81" s="400"/>
      <c r="AB81" s="396">
        <v>4.2</v>
      </c>
      <c r="AC81" s="396">
        <v>37.799909510648703</v>
      </c>
      <c r="AD81" s="396"/>
      <c r="AE81" s="401"/>
    </row>
    <row r="82" spans="1:31" ht="12.75" customHeight="1" thickBot="1">
      <c r="A82" s="77"/>
      <c r="B82" s="256" t="s">
        <v>22</v>
      </c>
      <c r="C82" s="241"/>
      <c r="D82" s="1">
        <v>531000</v>
      </c>
      <c r="E82" s="233" t="s">
        <v>159</v>
      </c>
      <c r="F82" s="233"/>
      <c r="G82" s="233"/>
      <c r="H82" s="284" t="s">
        <v>12</v>
      </c>
      <c r="I82" s="234">
        <v>611.27</v>
      </c>
      <c r="J82" s="235">
        <f t="shared" si="28"/>
        <v>1</v>
      </c>
      <c r="K82" s="236">
        <f t="shared" si="23"/>
        <v>0</v>
      </c>
      <c r="L82" s="237">
        <f t="shared" si="24"/>
        <v>0</v>
      </c>
      <c r="M82" s="375">
        <v>126.65</v>
      </c>
      <c r="N82" s="376"/>
      <c r="O82" s="376"/>
      <c r="P82" s="377"/>
      <c r="Q82" s="79"/>
      <c r="R82" s="80"/>
      <c r="S82" s="249"/>
      <c r="T82" s="250"/>
      <c r="U82" s="249"/>
      <c r="V82" s="250"/>
      <c r="X82" s="390">
        <f t="shared" si="27"/>
        <v>611.27</v>
      </c>
      <c r="Y82" s="81">
        <f t="shared" si="25"/>
        <v>1</v>
      </c>
      <c r="AA82" s="402">
        <f>182.7-0.01/M18</f>
        <v>182.69992104224238</v>
      </c>
      <c r="AB82" s="403">
        <v>379.97</v>
      </c>
      <c r="AC82" s="403">
        <v>48.600078957757546</v>
      </c>
      <c r="AD82" s="403"/>
      <c r="AE82" s="404"/>
    </row>
    <row r="83" spans="1:31" ht="12.75" customHeight="1" thickBot="1">
      <c r="A83" s="77"/>
      <c r="B83" s="256" t="s">
        <v>22</v>
      </c>
      <c r="C83" s="241">
        <v>4</v>
      </c>
      <c r="D83" s="1"/>
      <c r="E83" s="365" t="s">
        <v>38</v>
      </c>
      <c r="F83" s="233"/>
      <c r="G83" s="233"/>
      <c r="H83" s="284" t="s">
        <v>207</v>
      </c>
      <c r="I83" s="234"/>
      <c r="J83" s="235"/>
      <c r="K83" s="236">
        <f t="shared" si="23"/>
        <v>0</v>
      </c>
      <c r="L83" s="237">
        <f t="shared" si="24"/>
        <v>0</v>
      </c>
      <c r="M83" s="375"/>
      <c r="N83" s="376"/>
      <c r="O83" s="376"/>
      <c r="P83" s="377"/>
      <c r="Q83" s="79"/>
      <c r="R83" s="80"/>
      <c r="S83" s="249"/>
      <c r="T83" s="250"/>
      <c r="U83" s="249"/>
      <c r="V83" s="250"/>
      <c r="X83" s="390"/>
      <c r="Y83" s="81">
        <f t="shared" si="25"/>
        <v>0</v>
      </c>
      <c r="AA83" s="394"/>
      <c r="AB83" s="394"/>
      <c r="AC83" s="394"/>
      <c r="AD83" s="394"/>
      <c r="AE83" s="394"/>
    </row>
    <row r="84" spans="1:31" ht="12.75" customHeight="1">
      <c r="A84" s="77"/>
      <c r="B84" s="256" t="s">
        <v>22</v>
      </c>
      <c r="C84" s="241"/>
      <c r="D84" s="1" t="s">
        <v>122</v>
      </c>
      <c r="E84" s="233" t="s">
        <v>160</v>
      </c>
      <c r="F84" s="233"/>
      <c r="G84" s="233"/>
      <c r="H84" s="284" t="s">
        <v>11</v>
      </c>
      <c r="I84" s="234">
        <v>3395.95</v>
      </c>
      <c r="J84" s="235">
        <f t="shared" ref="J84:J89" si="29">Y84</f>
        <v>1</v>
      </c>
      <c r="K84" s="236">
        <f t="shared" si="23"/>
        <v>0</v>
      </c>
      <c r="L84" s="237">
        <f t="shared" si="24"/>
        <v>0</v>
      </c>
      <c r="M84" s="375">
        <v>0.27</v>
      </c>
      <c r="N84" s="376"/>
      <c r="O84" s="376"/>
      <c r="P84" s="377"/>
      <c r="Q84" s="79"/>
      <c r="R84" s="80"/>
      <c r="S84" s="249"/>
      <c r="T84" s="250"/>
      <c r="U84" s="249"/>
      <c r="V84" s="250"/>
      <c r="X84" s="390">
        <f t="shared" si="27"/>
        <v>3395.95</v>
      </c>
      <c r="Y84" s="81">
        <f t="shared" si="25"/>
        <v>1</v>
      </c>
      <c r="AA84" s="397">
        <f>1015-0.01/M20</f>
        <v>1014.9629629629629</v>
      </c>
      <c r="AB84" s="398">
        <v>2110.9899999999998</v>
      </c>
      <c r="AC84" s="398">
        <v>269.99703703703699</v>
      </c>
      <c r="AD84" s="398"/>
      <c r="AE84" s="399"/>
    </row>
    <row r="85" spans="1:31" ht="12.75" customHeight="1">
      <c r="A85" s="77"/>
      <c r="B85" s="256" t="s">
        <v>22</v>
      </c>
      <c r="C85" s="241"/>
      <c r="D85" s="1">
        <v>589190</v>
      </c>
      <c r="E85" s="233" t="s">
        <v>161</v>
      </c>
      <c r="F85" s="233"/>
      <c r="G85" s="233"/>
      <c r="H85" s="284" t="s">
        <v>114</v>
      </c>
      <c r="I85" s="234">
        <v>3.74</v>
      </c>
      <c r="J85" s="235">
        <f t="shared" si="29"/>
        <v>0.99732747593603244</v>
      </c>
      <c r="K85" s="236">
        <f t="shared" si="23"/>
        <v>0</v>
      </c>
      <c r="L85" s="237">
        <f t="shared" si="24"/>
        <v>0</v>
      </c>
      <c r="M85" s="375">
        <v>4201.68</v>
      </c>
      <c r="N85" s="376"/>
      <c r="O85" s="376"/>
      <c r="P85" s="377"/>
      <c r="Q85" s="79"/>
      <c r="R85" s="80"/>
      <c r="S85" s="249"/>
      <c r="T85" s="250"/>
      <c r="U85" s="249"/>
      <c r="V85" s="250"/>
      <c r="X85" s="390">
        <f t="shared" si="27"/>
        <v>3.7300047600007615</v>
      </c>
      <c r="Y85" s="81">
        <f t="shared" si="25"/>
        <v>0.99732747593603244</v>
      </c>
      <c r="AA85" s="400">
        <v>1.02</v>
      </c>
      <c r="AB85" s="396">
        <f>2.11+0.01/M21</f>
        <v>2.1100023800003807</v>
      </c>
      <c r="AC85" s="396">
        <f>0.6+0.01/M21</f>
        <v>0.60000238000038075</v>
      </c>
      <c r="AD85" s="396"/>
      <c r="AE85" s="401"/>
    </row>
    <row r="86" spans="1:31" ht="12.75" customHeight="1">
      <c r="A86" s="77"/>
      <c r="B86" s="256" t="s">
        <v>22</v>
      </c>
      <c r="C86" s="241"/>
      <c r="D86" s="1">
        <v>561100</v>
      </c>
      <c r="E86" s="233" t="s">
        <v>162</v>
      </c>
      <c r="F86" s="233"/>
      <c r="G86" s="233"/>
      <c r="H86" s="284" t="s">
        <v>11</v>
      </c>
      <c r="I86" s="234">
        <v>3395.95</v>
      </c>
      <c r="J86" s="235">
        <f t="shared" si="29"/>
        <v>1</v>
      </c>
      <c r="K86" s="236">
        <f t="shared" si="23"/>
        <v>0</v>
      </c>
      <c r="L86" s="237">
        <f t="shared" si="24"/>
        <v>0</v>
      </c>
      <c r="M86" s="375">
        <v>0.28000000000000003</v>
      </c>
      <c r="N86" s="376"/>
      <c r="O86" s="376"/>
      <c r="P86" s="377"/>
      <c r="Q86" s="79"/>
      <c r="R86" s="80"/>
      <c r="S86" s="249"/>
      <c r="T86" s="250"/>
      <c r="U86" s="249"/>
      <c r="V86" s="250"/>
      <c r="X86" s="390">
        <f t="shared" si="27"/>
        <v>3395.95</v>
      </c>
      <c r="Y86" s="81">
        <f t="shared" si="25"/>
        <v>1</v>
      </c>
      <c r="AA86" s="400">
        <v>1015</v>
      </c>
      <c r="AB86" s="396">
        <v>2110.9899999999998</v>
      </c>
      <c r="AC86" s="396">
        <v>269.96000000000004</v>
      </c>
      <c r="AD86" s="396"/>
      <c r="AE86" s="401"/>
    </row>
    <row r="87" spans="1:31" ht="12.75" customHeight="1">
      <c r="A87" s="77"/>
      <c r="B87" s="256" t="s">
        <v>22</v>
      </c>
      <c r="C87" s="241"/>
      <c r="D87" s="1" t="s">
        <v>123</v>
      </c>
      <c r="E87" s="233" t="s">
        <v>163</v>
      </c>
      <c r="F87" s="233"/>
      <c r="G87" s="233"/>
      <c r="H87" s="284" t="s">
        <v>114</v>
      </c>
      <c r="I87" s="234">
        <v>1.7</v>
      </c>
      <c r="J87" s="235">
        <f t="shared" si="29"/>
        <v>0.99411764705882355</v>
      </c>
      <c r="K87" s="236">
        <f t="shared" si="23"/>
        <v>0</v>
      </c>
      <c r="L87" s="237">
        <f t="shared" si="24"/>
        <v>0</v>
      </c>
      <c r="M87" s="375">
        <v>3616.24</v>
      </c>
      <c r="N87" s="376"/>
      <c r="O87" s="376"/>
      <c r="P87" s="377"/>
      <c r="Q87" s="79"/>
      <c r="R87" s="80"/>
      <c r="S87" s="249"/>
      <c r="T87" s="250"/>
      <c r="U87" s="249"/>
      <c r="V87" s="250"/>
      <c r="X87" s="390">
        <f t="shared" si="27"/>
        <v>1.69</v>
      </c>
      <c r="Y87" s="81">
        <f t="shared" si="25"/>
        <v>0.99411764705882355</v>
      </c>
      <c r="AA87" s="400">
        <v>0.51</v>
      </c>
      <c r="AB87" s="396">
        <v>1.05</v>
      </c>
      <c r="AC87" s="396">
        <v>0.13</v>
      </c>
      <c r="AD87" s="396"/>
      <c r="AE87" s="401"/>
    </row>
    <row r="88" spans="1:31" ht="12.75" customHeight="1">
      <c r="A88" s="77"/>
      <c r="B88" s="256" t="s">
        <v>22</v>
      </c>
      <c r="C88" s="241"/>
      <c r="D88" s="1">
        <v>570000</v>
      </c>
      <c r="E88" s="233" t="s">
        <v>164</v>
      </c>
      <c r="F88" s="233"/>
      <c r="G88" s="233"/>
      <c r="H88" s="284" t="s">
        <v>114</v>
      </c>
      <c r="I88" s="234">
        <v>407.51</v>
      </c>
      <c r="J88" s="235">
        <f t="shared" si="29"/>
        <v>0.99766876886456779</v>
      </c>
      <c r="K88" s="236">
        <f t="shared" si="23"/>
        <v>0</v>
      </c>
      <c r="L88" s="237">
        <f t="shared" si="24"/>
        <v>0</v>
      </c>
      <c r="M88" s="375">
        <v>187.08</v>
      </c>
      <c r="N88" s="376"/>
      <c r="O88" s="376"/>
      <c r="P88" s="377"/>
      <c r="Q88" s="79"/>
      <c r="R88" s="80"/>
      <c r="S88" s="249"/>
      <c r="T88" s="250"/>
      <c r="U88" s="249"/>
      <c r="V88" s="250"/>
      <c r="X88" s="390">
        <f t="shared" si="27"/>
        <v>406.56</v>
      </c>
      <c r="Y88" s="81">
        <f t="shared" si="25"/>
        <v>0.99766876886456779</v>
      </c>
      <c r="AA88" s="400">
        <v>121.8</v>
      </c>
      <c r="AB88" s="396">
        <v>253.32</v>
      </c>
      <c r="AC88" s="396">
        <v>31.44</v>
      </c>
      <c r="AD88" s="396"/>
      <c r="AE88" s="401"/>
    </row>
    <row r="89" spans="1:31" ht="12.75" customHeight="1" thickBot="1">
      <c r="A89" s="77"/>
      <c r="B89" s="256" t="s">
        <v>22</v>
      </c>
      <c r="C89" s="241"/>
      <c r="D89" s="1" t="s">
        <v>124</v>
      </c>
      <c r="E89" s="233" t="s">
        <v>165</v>
      </c>
      <c r="F89" s="233"/>
      <c r="G89" s="233"/>
      <c r="H89" s="284" t="s">
        <v>114</v>
      </c>
      <c r="I89" s="234">
        <v>22.41</v>
      </c>
      <c r="J89" s="235">
        <f t="shared" si="29"/>
        <v>0.92324854975457393</v>
      </c>
      <c r="K89" s="236">
        <f t="shared" si="23"/>
        <v>0</v>
      </c>
      <c r="L89" s="237">
        <f t="shared" si="24"/>
        <v>0</v>
      </c>
      <c r="M89" s="375">
        <v>5323.62</v>
      </c>
      <c r="N89" s="376"/>
      <c r="O89" s="376"/>
      <c r="P89" s="377"/>
      <c r="Q89" s="79"/>
      <c r="R89" s="80"/>
      <c r="S89" s="249"/>
      <c r="T89" s="250"/>
      <c r="U89" s="249"/>
      <c r="V89" s="250"/>
      <c r="X89" s="390">
        <f t="shared" si="27"/>
        <v>20.69</v>
      </c>
      <c r="Y89" s="81">
        <f t="shared" si="25"/>
        <v>0.92324854975457393</v>
      </c>
      <c r="AA89" s="402">
        <v>6.16</v>
      </c>
      <c r="AB89" s="403">
        <v>12.97</v>
      </c>
      <c r="AC89" s="403">
        <v>1.56</v>
      </c>
      <c r="AD89" s="403"/>
      <c r="AE89" s="404"/>
    </row>
    <row r="90" spans="1:31" ht="12.75" customHeight="1" thickBot="1">
      <c r="A90" s="77"/>
      <c r="B90" s="256" t="s">
        <v>22</v>
      </c>
      <c r="C90" s="241">
        <v>5</v>
      </c>
      <c r="D90" s="1"/>
      <c r="E90" s="365" t="s">
        <v>37</v>
      </c>
      <c r="F90" s="233"/>
      <c r="G90" s="233"/>
      <c r="H90" s="284" t="s">
        <v>207</v>
      </c>
      <c r="I90" s="234"/>
      <c r="J90" s="235"/>
      <c r="K90" s="236">
        <f t="shared" si="23"/>
        <v>0</v>
      </c>
      <c r="L90" s="237">
        <f t="shared" si="24"/>
        <v>0</v>
      </c>
      <c r="M90" s="375"/>
      <c r="N90" s="376"/>
      <c r="O90" s="376"/>
      <c r="P90" s="377"/>
      <c r="Q90" s="79"/>
      <c r="R90" s="80"/>
      <c r="S90" s="249"/>
      <c r="T90" s="250"/>
      <c r="U90" s="249"/>
      <c r="V90" s="250"/>
      <c r="X90" s="390"/>
      <c r="Y90" s="81">
        <f t="shared" si="25"/>
        <v>0</v>
      </c>
      <c r="AA90" s="394"/>
      <c r="AB90" s="394"/>
      <c r="AC90" s="394"/>
      <c r="AD90" s="394"/>
      <c r="AE90" s="394"/>
    </row>
    <row r="91" spans="1:31" ht="12.75" customHeight="1">
      <c r="A91" s="77"/>
      <c r="B91" s="256" t="s">
        <v>22</v>
      </c>
      <c r="C91" s="241"/>
      <c r="D91" s="1">
        <v>810150</v>
      </c>
      <c r="E91" s="233" t="s">
        <v>166</v>
      </c>
      <c r="F91" s="233"/>
      <c r="G91" s="233"/>
      <c r="H91" s="284" t="s">
        <v>13</v>
      </c>
      <c r="I91" s="234">
        <v>815</v>
      </c>
      <c r="J91" s="235">
        <f t="shared" ref="J91:J92" si="30">Y91</f>
        <v>1</v>
      </c>
      <c r="K91" s="236">
        <f t="shared" si="23"/>
        <v>0</v>
      </c>
      <c r="L91" s="237">
        <f t="shared" si="24"/>
        <v>0</v>
      </c>
      <c r="M91" s="375">
        <v>41.67</v>
      </c>
      <c r="N91" s="376"/>
      <c r="O91" s="376"/>
      <c r="P91" s="377"/>
      <c r="Q91" s="79"/>
      <c r="R91" s="80"/>
      <c r="S91" s="249"/>
      <c r="T91" s="250"/>
      <c r="U91" s="249"/>
      <c r="V91" s="250"/>
      <c r="X91" s="390">
        <f t="shared" si="27"/>
        <v>815</v>
      </c>
      <c r="Y91" s="81">
        <f t="shared" si="25"/>
        <v>1</v>
      </c>
      <c r="AA91" s="397">
        <v>650</v>
      </c>
      <c r="AB91" s="398">
        <v>125</v>
      </c>
      <c r="AC91" s="398">
        <v>40</v>
      </c>
      <c r="AD91" s="398"/>
      <c r="AE91" s="399"/>
    </row>
    <row r="92" spans="1:31" ht="12.75" customHeight="1" thickBot="1">
      <c r="A92" s="77"/>
      <c r="B92" s="256" t="s">
        <v>22</v>
      </c>
      <c r="C92" s="241"/>
      <c r="D92" s="1">
        <v>810650</v>
      </c>
      <c r="E92" s="233" t="s">
        <v>167</v>
      </c>
      <c r="F92" s="233"/>
      <c r="G92" s="233"/>
      <c r="H92" s="284" t="s">
        <v>13</v>
      </c>
      <c r="I92" s="234">
        <v>59</v>
      </c>
      <c r="J92" s="235">
        <f t="shared" si="30"/>
        <v>1</v>
      </c>
      <c r="K92" s="236">
        <f t="shared" si="23"/>
        <v>0</v>
      </c>
      <c r="L92" s="237">
        <f t="shared" si="24"/>
        <v>0</v>
      </c>
      <c r="M92" s="375">
        <v>39.53</v>
      </c>
      <c r="N92" s="376"/>
      <c r="O92" s="376"/>
      <c r="P92" s="377"/>
      <c r="Q92" s="79"/>
      <c r="R92" s="80"/>
      <c r="S92" s="249"/>
      <c r="T92" s="250"/>
      <c r="U92" s="249"/>
      <c r="V92" s="250"/>
      <c r="X92" s="390">
        <f t="shared" si="27"/>
        <v>59</v>
      </c>
      <c r="Y92" s="81">
        <f t="shared" si="25"/>
        <v>1</v>
      </c>
      <c r="AA92" s="402">
        <v>45</v>
      </c>
      <c r="AB92" s="403">
        <v>14</v>
      </c>
      <c r="AC92" s="403"/>
      <c r="AD92" s="403"/>
      <c r="AE92" s="404"/>
    </row>
    <row r="93" spans="1:31" ht="12.75" customHeight="1" thickBot="1">
      <c r="A93" s="77"/>
      <c r="B93" s="256" t="s">
        <v>22</v>
      </c>
      <c r="C93" s="241">
        <v>6</v>
      </c>
      <c r="D93" s="1"/>
      <c r="E93" s="365" t="s">
        <v>168</v>
      </c>
      <c r="F93" s="233"/>
      <c r="G93" s="233"/>
      <c r="H93" s="284" t="s">
        <v>207</v>
      </c>
      <c r="I93" s="234"/>
      <c r="J93" s="235"/>
      <c r="K93" s="236">
        <f t="shared" si="23"/>
        <v>0</v>
      </c>
      <c r="L93" s="237">
        <f t="shared" si="24"/>
        <v>0</v>
      </c>
      <c r="M93" s="375"/>
      <c r="N93" s="376"/>
      <c r="O93" s="376"/>
      <c r="P93" s="377"/>
      <c r="Q93" s="79"/>
      <c r="R93" s="80"/>
      <c r="S93" s="249"/>
      <c r="T93" s="250"/>
      <c r="U93" s="249"/>
      <c r="V93" s="250"/>
      <c r="X93" s="390"/>
      <c r="Y93" s="81">
        <f t="shared" si="25"/>
        <v>0</v>
      </c>
      <c r="AA93" s="394"/>
      <c r="AB93" s="394"/>
      <c r="AC93" s="394"/>
      <c r="AD93" s="394"/>
      <c r="AE93" s="394"/>
    </row>
    <row r="94" spans="1:31" ht="12.75" customHeight="1">
      <c r="A94" s="77"/>
      <c r="B94" s="256" t="s">
        <v>22</v>
      </c>
      <c r="C94" s="241"/>
      <c r="D94" s="1" t="s">
        <v>125</v>
      </c>
      <c r="E94" s="233" t="s">
        <v>169</v>
      </c>
      <c r="F94" s="233"/>
      <c r="G94" s="233"/>
      <c r="H94" s="284" t="s">
        <v>13</v>
      </c>
      <c r="I94" s="234">
        <v>621.58000000000004</v>
      </c>
      <c r="J94" s="235">
        <f t="shared" ref="J94:J103" si="31">Y94</f>
        <v>1</v>
      </c>
      <c r="K94" s="236">
        <f t="shared" si="23"/>
        <v>0</v>
      </c>
      <c r="L94" s="237">
        <f t="shared" si="24"/>
        <v>0</v>
      </c>
      <c r="M94" s="375">
        <v>13.11</v>
      </c>
      <c r="N94" s="376"/>
      <c r="O94" s="376"/>
      <c r="P94" s="377"/>
      <c r="Q94" s="79"/>
      <c r="R94" s="80"/>
      <c r="S94" s="249"/>
      <c r="T94" s="250"/>
      <c r="U94" s="249"/>
      <c r="V94" s="250"/>
      <c r="X94" s="390">
        <f t="shared" si="27"/>
        <v>621.58000000000004</v>
      </c>
      <c r="Y94" s="81">
        <f t="shared" si="25"/>
        <v>1</v>
      </c>
      <c r="AA94" s="397">
        <v>290</v>
      </c>
      <c r="AB94" s="398">
        <f>281-0.01/M30</f>
        <v>280.99923722349354</v>
      </c>
      <c r="AC94" s="398">
        <v>50.580762776506504</v>
      </c>
      <c r="AD94" s="398"/>
      <c r="AE94" s="399"/>
    </row>
    <row r="95" spans="1:31" ht="12.75" customHeight="1">
      <c r="A95" s="77"/>
      <c r="B95" s="256" t="s">
        <v>22</v>
      </c>
      <c r="C95" s="241"/>
      <c r="D95" s="1">
        <v>511000</v>
      </c>
      <c r="E95" s="233" t="s">
        <v>170</v>
      </c>
      <c r="F95" s="233"/>
      <c r="G95" s="233"/>
      <c r="H95" s="284" t="s">
        <v>11</v>
      </c>
      <c r="I95" s="234">
        <v>1215.96</v>
      </c>
      <c r="J95" s="235">
        <f t="shared" si="31"/>
        <v>1</v>
      </c>
      <c r="K95" s="236">
        <f t="shared" si="23"/>
        <v>0</v>
      </c>
      <c r="L95" s="237">
        <f t="shared" si="24"/>
        <v>0</v>
      </c>
      <c r="M95" s="375">
        <v>2.33</v>
      </c>
      <c r="N95" s="376"/>
      <c r="O95" s="376"/>
      <c r="P95" s="377"/>
      <c r="Q95" s="79"/>
      <c r="R95" s="80"/>
      <c r="S95" s="249"/>
      <c r="T95" s="250"/>
      <c r="U95" s="249"/>
      <c r="V95" s="250"/>
      <c r="X95" s="390">
        <f t="shared" si="27"/>
        <v>1215.96</v>
      </c>
      <c r="Y95" s="81">
        <f t="shared" si="25"/>
        <v>1</v>
      </c>
      <c r="AA95" s="400">
        <v>390</v>
      </c>
      <c r="AB95" s="396">
        <v>777.96</v>
      </c>
      <c r="AC95" s="396">
        <v>48</v>
      </c>
      <c r="AD95" s="396"/>
      <c r="AE95" s="401"/>
    </row>
    <row r="96" spans="1:31" ht="12.75" customHeight="1">
      <c r="A96" s="77"/>
      <c r="B96" s="256" t="s">
        <v>22</v>
      </c>
      <c r="C96" s="241"/>
      <c r="D96" s="1">
        <v>530200</v>
      </c>
      <c r="E96" s="233" t="s">
        <v>171</v>
      </c>
      <c r="F96" s="233"/>
      <c r="G96" s="233"/>
      <c r="H96" s="284" t="s">
        <v>12</v>
      </c>
      <c r="I96" s="234">
        <v>21.86</v>
      </c>
      <c r="J96" s="235">
        <f t="shared" si="31"/>
        <v>1</v>
      </c>
      <c r="K96" s="236">
        <f t="shared" si="23"/>
        <v>0</v>
      </c>
      <c r="L96" s="237">
        <f t="shared" si="24"/>
        <v>0</v>
      </c>
      <c r="M96" s="375">
        <v>95.81</v>
      </c>
      <c r="N96" s="376"/>
      <c r="O96" s="376"/>
      <c r="P96" s="377"/>
      <c r="Q96" s="79"/>
      <c r="R96" s="80"/>
      <c r="S96" s="249"/>
      <c r="T96" s="250"/>
      <c r="U96" s="249"/>
      <c r="V96" s="250"/>
      <c r="X96" s="390">
        <f t="shared" si="27"/>
        <v>21.86</v>
      </c>
      <c r="Y96" s="81">
        <f t="shared" si="25"/>
        <v>1</v>
      </c>
      <c r="AA96" s="400">
        <v>7</v>
      </c>
      <c r="AB96" s="396">
        <v>5</v>
      </c>
      <c r="AC96" s="396">
        <v>9.86</v>
      </c>
      <c r="AD96" s="396"/>
      <c r="AE96" s="401"/>
    </row>
    <row r="97" spans="1:33" s="82" customFormat="1" ht="12.75" customHeight="1">
      <c r="A97" s="77"/>
      <c r="B97" s="256" t="s">
        <v>22</v>
      </c>
      <c r="C97" s="241"/>
      <c r="D97" s="254" t="s">
        <v>126</v>
      </c>
      <c r="E97" s="233" t="s">
        <v>172</v>
      </c>
      <c r="F97" s="233"/>
      <c r="G97" s="233"/>
      <c r="H97" s="284" t="s">
        <v>12</v>
      </c>
      <c r="I97" s="234">
        <v>121.6</v>
      </c>
      <c r="J97" s="235">
        <f t="shared" si="31"/>
        <v>1</v>
      </c>
      <c r="K97" s="236">
        <f t="shared" si="23"/>
        <v>0</v>
      </c>
      <c r="L97" s="237">
        <f t="shared" si="24"/>
        <v>0</v>
      </c>
      <c r="M97" s="375">
        <v>119.83</v>
      </c>
      <c r="N97" s="376"/>
      <c r="O97" s="376"/>
      <c r="P97" s="377"/>
      <c r="Q97" s="79"/>
      <c r="R97" s="80"/>
      <c r="S97" s="249"/>
      <c r="T97" s="250"/>
      <c r="U97" s="249"/>
      <c r="V97" s="250"/>
      <c r="X97" s="390">
        <f t="shared" si="27"/>
        <v>121.6</v>
      </c>
      <c r="Y97" s="81">
        <f t="shared" si="25"/>
        <v>1</v>
      </c>
      <c r="Z97" s="19"/>
      <c r="AA97" s="400"/>
      <c r="AB97" s="396">
        <v>45</v>
      </c>
      <c r="AC97" s="396">
        <v>76.599999999999994</v>
      </c>
      <c r="AD97" s="396"/>
      <c r="AE97" s="401"/>
      <c r="AF97" s="393"/>
      <c r="AG97" s="393"/>
    </row>
    <row r="98" spans="1:33" ht="12.75" customHeight="1">
      <c r="A98" s="77"/>
      <c r="B98" s="256" t="s">
        <v>22</v>
      </c>
      <c r="C98" s="241"/>
      <c r="D98" s="254" t="s">
        <v>127</v>
      </c>
      <c r="E98" s="233" t="s">
        <v>162</v>
      </c>
      <c r="F98" s="233"/>
      <c r="G98" s="233"/>
      <c r="H98" s="284" t="s">
        <v>11</v>
      </c>
      <c r="I98" s="234">
        <v>1293.29</v>
      </c>
      <c r="J98" s="235">
        <f t="shared" si="31"/>
        <v>1</v>
      </c>
      <c r="K98" s="236">
        <f t="shared" si="23"/>
        <v>0</v>
      </c>
      <c r="L98" s="237">
        <f t="shared" si="24"/>
        <v>0</v>
      </c>
      <c r="M98" s="375">
        <v>0.3</v>
      </c>
      <c r="N98" s="376"/>
      <c r="O98" s="376"/>
      <c r="P98" s="377"/>
      <c r="Q98" s="79"/>
      <c r="R98" s="80"/>
      <c r="S98" s="249"/>
      <c r="T98" s="250"/>
      <c r="U98" s="249"/>
      <c r="V98" s="250"/>
      <c r="X98" s="390">
        <f t="shared" si="27"/>
        <v>1293.29</v>
      </c>
      <c r="Y98" s="81">
        <f t="shared" si="25"/>
        <v>1</v>
      </c>
      <c r="AA98" s="400"/>
      <c r="AB98" s="396">
        <v>175</v>
      </c>
      <c r="AC98" s="396">
        <v>1118.29</v>
      </c>
      <c r="AD98" s="396"/>
      <c r="AE98" s="401"/>
    </row>
    <row r="99" spans="1:33" ht="12.75" customHeight="1">
      <c r="A99" s="77"/>
      <c r="B99" s="256" t="s">
        <v>22</v>
      </c>
      <c r="C99" s="241"/>
      <c r="D99" s="254" t="s">
        <v>128</v>
      </c>
      <c r="E99" s="233" t="s">
        <v>173</v>
      </c>
      <c r="F99" s="233"/>
      <c r="G99" s="233"/>
      <c r="H99" s="284" t="s">
        <v>114</v>
      </c>
      <c r="I99" s="234">
        <v>0.65</v>
      </c>
      <c r="J99" s="235">
        <f t="shared" si="31"/>
        <v>1</v>
      </c>
      <c r="K99" s="236">
        <f t="shared" si="23"/>
        <v>0</v>
      </c>
      <c r="L99" s="237">
        <f t="shared" si="24"/>
        <v>0</v>
      </c>
      <c r="M99" s="375">
        <v>3821.78</v>
      </c>
      <c r="N99" s="376"/>
      <c r="O99" s="376"/>
      <c r="P99" s="377"/>
      <c r="Q99" s="79"/>
      <c r="R99" s="80"/>
      <c r="S99" s="249"/>
      <c r="T99" s="250"/>
      <c r="U99" s="249"/>
      <c r="V99" s="250"/>
      <c r="X99" s="390">
        <f t="shared" si="27"/>
        <v>0.65</v>
      </c>
      <c r="Y99" s="81">
        <f t="shared" si="25"/>
        <v>1</v>
      </c>
      <c r="AA99" s="400"/>
      <c r="AB99" s="396">
        <v>0.09</v>
      </c>
      <c r="AC99" s="396">
        <v>0.56000000000000005</v>
      </c>
      <c r="AD99" s="396"/>
      <c r="AE99" s="401"/>
    </row>
    <row r="100" spans="1:33" ht="12.75" customHeight="1">
      <c r="A100" s="77"/>
      <c r="B100" s="256" t="s">
        <v>22</v>
      </c>
      <c r="C100" s="241"/>
      <c r="D100" s="254">
        <v>570000</v>
      </c>
      <c r="E100" s="233" t="s">
        <v>174</v>
      </c>
      <c r="F100" s="233"/>
      <c r="G100" s="233"/>
      <c r="H100" s="284" t="s">
        <v>114</v>
      </c>
      <c r="I100" s="234">
        <v>87.55</v>
      </c>
      <c r="J100" s="235">
        <f t="shared" si="31"/>
        <v>1</v>
      </c>
      <c r="K100" s="236">
        <f t="shared" si="23"/>
        <v>0</v>
      </c>
      <c r="L100" s="237">
        <f t="shared" si="24"/>
        <v>0</v>
      </c>
      <c r="M100" s="375">
        <v>208.03</v>
      </c>
      <c r="N100" s="376"/>
      <c r="O100" s="376"/>
      <c r="P100" s="377"/>
      <c r="Q100" s="79"/>
      <c r="R100" s="80"/>
      <c r="S100" s="249"/>
      <c r="T100" s="250"/>
      <c r="U100" s="249"/>
      <c r="V100" s="250"/>
      <c r="X100" s="390">
        <f t="shared" si="27"/>
        <v>87.55</v>
      </c>
      <c r="Y100" s="81">
        <f t="shared" si="25"/>
        <v>1</v>
      </c>
      <c r="AA100" s="400"/>
      <c r="AB100" s="396">
        <v>12.6</v>
      </c>
      <c r="AC100" s="396">
        <v>74.95</v>
      </c>
      <c r="AD100" s="396"/>
      <c r="AE100" s="401"/>
    </row>
    <row r="101" spans="1:33" ht="12.75" customHeight="1">
      <c r="A101" s="77"/>
      <c r="B101" s="256" t="s">
        <v>22</v>
      </c>
      <c r="C101" s="241"/>
      <c r="D101" s="254" t="s">
        <v>129</v>
      </c>
      <c r="E101" s="233" t="s">
        <v>165</v>
      </c>
      <c r="F101" s="233"/>
      <c r="G101" s="233"/>
      <c r="H101" s="284" t="s">
        <v>114</v>
      </c>
      <c r="I101" s="234">
        <v>4.99</v>
      </c>
      <c r="J101" s="235">
        <f t="shared" si="31"/>
        <v>1</v>
      </c>
      <c r="K101" s="236">
        <f t="shared" si="23"/>
        <v>0</v>
      </c>
      <c r="L101" s="237">
        <f t="shared" si="24"/>
        <v>0</v>
      </c>
      <c r="M101" s="375">
        <v>5427.67</v>
      </c>
      <c r="N101" s="376"/>
      <c r="O101" s="376"/>
      <c r="P101" s="377"/>
      <c r="Q101" s="79"/>
      <c r="R101" s="80"/>
      <c r="S101" s="249"/>
      <c r="T101" s="250"/>
      <c r="U101" s="249"/>
      <c r="V101" s="250"/>
      <c r="X101" s="390">
        <f t="shared" si="27"/>
        <v>4.99</v>
      </c>
      <c r="Y101" s="81">
        <f t="shared" si="25"/>
        <v>1</v>
      </c>
      <c r="AA101" s="400"/>
      <c r="AB101" s="396">
        <v>0.63</v>
      </c>
      <c r="AC101" s="396">
        <v>4.3600000000000003</v>
      </c>
      <c r="AD101" s="396"/>
      <c r="AE101" s="401"/>
    </row>
    <row r="102" spans="1:33" ht="12.75" customHeight="1">
      <c r="A102" s="77"/>
      <c r="B102" s="256" t="s">
        <v>22</v>
      </c>
      <c r="C102" s="241"/>
      <c r="D102" s="254">
        <v>98504</v>
      </c>
      <c r="E102" s="233" t="s">
        <v>175</v>
      </c>
      <c r="F102" s="233"/>
      <c r="G102" s="233"/>
      <c r="H102" s="284" t="s">
        <v>11</v>
      </c>
      <c r="I102" s="234">
        <v>1280.55</v>
      </c>
      <c r="J102" s="235">
        <f t="shared" si="31"/>
        <v>1</v>
      </c>
      <c r="K102" s="236">
        <f t="shared" si="23"/>
        <v>0</v>
      </c>
      <c r="L102" s="237">
        <f t="shared" si="24"/>
        <v>0</v>
      </c>
      <c r="M102" s="375">
        <v>11.26</v>
      </c>
      <c r="N102" s="376"/>
      <c r="O102" s="376"/>
      <c r="P102" s="377"/>
      <c r="Q102" s="79"/>
      <c r="R102" s="80"/>
      <c r="S102" s="249"/>
      <c r="T102" s="250"/>
      <c r="U102" s="249"/>
      <c r="V102" s="250"/>
      <c r="X102" s="390">
        <f t="shared" si="27"/>
        <v>1280.55</v>
      </c>
      <c r="Y102" s="81">
        <f t="shared" si="25"/>
        <v>1</v>
      </c>
      <c r="AA102" s="400"/>
      <c r="AB102" s="396"/>
      <c r="AC102" s="396">
        <v>1280.55</v>
      </c>
      <c r="AD102" s="396"/>
      <c r="AE102" s="401"/>
    </row>
    <row r="103" spans="1:33" ht="12.75" customHeight="1" thickBot="1">
      <c r="A103" s="77"/>
      <c r="B103" s="256" t="s">
        <v>22</v>
      </c>
      <c r="C103" s="241"/>
      <c r="D103" s="254" t="s">
        <v>130</v>
      </c>
      <c r="E103" s="233" t="s">
        <v>176</v>
      </c>
      <c r="F103" s="233"/>
      <c r="G103" s="233"/>
      <c r="H103" s="284" t="s">
        <v>9</v>
      </c>
      <c r="I103" s="234">
        <v>6</v>
      </c>
      <c r="J103" s="235">
        <f t="shared" si="31"/>
        <v>1</v>
      </c>
      <c r="K103" s="236">
        <f t="shared" si="23"/>
        <v>0</v>
      </c>
      <c r="L103" s="237">
        <f t="shared" si="24"/>
        <v>0</v>
      </c>
      <c r="M103" s="375">
        <v>432.14</v>
      </c>
      <c r="N103" s="376"/>
      <c r="O103" s="376"/>
      <c r="P103" s="377"/>
      <c r="Q103" s="79"/>
      <c r="R103" s="80"/>
      <c r="S103" s="249"/>
      <c r="T103" s="250"/>
      <c r="U103" s="249"/>
      <c r="V103" s="250"/>
      <c r="X103" s="390">
        <f t="shared" si="27"/>
        <v>6</v>
      </c>
      <c r="Y103" s="81">
        <f t="shared" si="25"/>
        <v>1</v>
      </c>
      <c r="AA103" s="402">
        <v>2</v>
      </c>
      <c r="AB103" s="403"/>
      <c r="AC103" s="403">
        <v>4</v>
      </c>
      <c r="AD103" s="403"/>
      <c r="AE103" s="404"/>
    </row>
    <row r="104" spans="1:33" ht="12.75" customHeight="1" thickBot="1">
      <c r="A104" s="77"/>
      <c r="B104" s="256" t="s">
        <v>22</v>
      </c>
      <c r="C104" s="241">
        <v>7</v>
      </c>
      <c r="D104" s="254"/>
      <c r="E104" s="365" t="s">
        <v>10</v>
      </c>
      <c r="F104" s="233"/>
      <c r="G104" s="233"/>
      <c r="H104" s="284" t="s">
        <v>207</v>
      </c>
      <c r="I104" s="234"/>
      <c r="J104" s="235"/>
      <c r="K104" s="236">
        <f t="shared" si="23"/>
        <v>0</v>
      </c>
      <c r="L104" s="237">
        <f t="shared" si="24"/>
        <v>0</v>
      </c>
      <c r="M104" s="375"/>
      <c r="N104" s="376"/>
      <c r="O104" s="376"/>
      <c r="P104" s="377"/>
      <c r="Q104" s="79"/>
      <c r="R104" s="80"/>
      <c r="S104" s="249"/>
      <c r="T104" s="250"/>
      <c r="U104" s="249"/>
      <c r="V104" s="250"/>
      <c r="X104" s="390"/>
      <c r="Y104" s="81">
        <f t="shared" si="25"/>
        <v>0</v>
      </c>
      <c r="AA104" s="394"/>
      <c r="AB104" s="394"/>
      <c r="AC104" s="394"/>
      <c r="AD104" s="394"/>
      <c r="AE104" s="394"/>
    </row>
    <row r="105" spans="1:33" ht="12.75" customHeight="1">
      <c r="A105" s="77"/>
      <c r="B105" s="256" t="s">
        <v>22</v>
      </c>
      <c r="C105" s="241"/>
      <c r="D105" s="254">
        <v>822000</v>
      </c>
      <c r="E105" s="233" t="s">
        <v>177</v>
      </c>
      <c r="F105" s="233"/>
      <c r="G105" s="233"/>
      <c r="H105" s="284" t="s">
        <v>11</v>
      </c>
      <c r="I105" s="234">
        <v>103.92</v>
      </c>
      <c r="J105" s="235">
        <f t="shared" ref="J105:J108" si="32">Y105</f>
        <v>1</v>
      </c>
      <c r="K105" s="236">
        <f t="shared" si="23"/>
        <v>0</v>
      </c>
      <c r="L105" s="237">
        <f t="shared" si="24"/>
        <v>0</v>
      </c>
      <c r="M105" s="375">
        <v>28.76</v>
      </c>
      <c r="N105" s="376"/>
      <c r="O105" s="376"/>
      <c r="P105" s="377"/>
      <c r="Q105" s="79"/>
      <c r="R105" s="80"/>
      <c r="S105" s="249"/>
      <c r="T105" s="250"/>
      <c r="U105" s="249"/>
      <c r="V105" s="250"/>
      <c r="X105" s="390">
        <f t="shared" si="27"/>
        <v>103.92</v>
      </c>
      <c r="Y105" s="81">
        <f t="shared" si="25"/>
        <v>1</v>
      </c>
      <c r="AA105" s="397"/>
      <c r="AB105" s="398"/>
      <c r="AC105" s="398">
        <v>103.92</v>
      </c>
      <c r="AD105" s="398"/>
      <c r="AE105" s="399"/>
    </row>
    <row r="106" spans="1:33" ht="12.75" customHeight="1">
      <c r="A106" s="77"/>
      <c r="B106" s="256" t="s">
        <v>22</v>
      </c>
      <c r="C106" s="241"/>
      <c r="D106" s="254" t="s">
        <v>131</v>
      </c>
      <c r="E106" s="233" t="s">
        <v>178</v>
      </c>
      <c r="F106" s="233"/>
      <c r="G106" s="233"/>
      <c r="H106" s="284" t="s">
        <v>9</v>
      </c>
      <c r="I106" s="234">
        <v>4</v>
      </c>
      <c r="J106" s="235">
        <f t="shared" si="32"/>
        <v>1</v>
      </c>
      <c r="K106" s="236">
        <f t="shared" si="23"/>
        <v>0</v>
      </c>
      <c r="L106" s="237">
        <f t="shared" si="24"/>
        <v>0</v>
      </c>
      <c r="M106" s="375">
        <v>515.63</v>
      </c>
      <c r="N106" s="376"/>
      <c r="O106" s="376"/>
      <c r="P106" s="377"/>
      <c r="Q106" s="79"/>
      <c r="R106" s="80"/>
      <c r="S106" s="249"/>
      <c r="T106" s="250"/>
      <c r="U106" s="249"/>
      <c r="V106" s="250"/>
      <c r="X106" s="390">
        <f t="shared" si="27"/>
        <v>4</v>
      </c>
      <c r="Y106" s="81">
        <f t="shared" si="25"/>
        <v>1</v>
      </c>
      <c r="AA106" s="400"/>
      <c r="AB106" s="396"/>
      <c r="AC106" s="396">
        <v>4</v>
      </c>
      <c r="AD106" s="396"/>
      <c r="AE106" s="401"/>
    </row>
    <row r="107" spans="1:33" ht="12.75" customHeight="1">
      <c r="A107" s="77"/>
      <c r="B107" s="256" t="s">
        <v>22</v>
      </c>
      <c r="C107" s="241"/>
      <c r="D107" s="254" t="s">
        <v>132</v>
      </c>
      <c r="E107" s="233" t="s">
        <v>179</v>
      </c>
      <c r="F107" s="233"/>
      <c r="G107" s="233"/>
      <c r="H107" s="284" t="s">
        <v>9</v>
      </c>
      <c r="I107" s="234">
        <v>2</v>
      </c>
      <c r="J107" s="235">
        <f t="shared" si="32"/>
        <v>1</v>
      </c>
      <c r="K107" s="236">
        <f t="shared" si="23"/>
        <v>0</v>
      </c>
      <c r="L107" s="237">
        <f t="shared" si="24"/>
        <v>0</v>
      </c>
      <c r="M107" s="375">
        <v>528</v>
      </c>
      <c r="N107" s="376"/>
      <c r="O107" s="376"/>
      <c r="P107" s="377"/>
      <c r="Q107" s="79"/>
      <c r="R107" s="80"/>
      <c r="S107" s="249"/>
      <c r="T107" s="250"/>
      <c r="U107" s="249"/>
      <c r="V107" s="250"/>
      <c r="X107" s="390">
        <f t="shared" si="27"/>
        <v>2</v>
      </c>
      <c r="Y107" s="81">
        <f t="shared" si="25"/>
        <v>1</v>
      </c>
      <c r="AA107" s="400"/>
      <c r="AB107" s="396"/>
      <c r="AC107" s="396">
        <v>2</v>
      </c>
      <c r="AD107" s="396"/>
      <c r="AE107" s="401"/>
    </row>
    <row r="108" spans="1:33" ht="12.75" customHeight="1" thickBot="1">
      <c r="A108" s="77"/>
      <c r="B108" s="256" t="s">
        <v>22</v>
      </c>
      <c r="C108" s="241"/>
      <c r="D108" s="254" t="s">
        <v>133</v>
      </c>
      <c r="E108" s="233" t="s">
        <v>180</v>
      </c>
      <c r="F108" s="233"/>
      <c r="G108" s="233"/>
      <c r="H108" s="284" t="s">
        <v>9</v>
      </c>
      <c r="I108" s="234">
        <v>1</v>
      </c>
      <c r="J108" s="235">
        <f t="shared" si="32"/>
        <v>1</v>
      </c>
      <c r="K108" s="236">
        <f t="shared" si="23"/>
        <v>0</v>
      </c>
      <c r="L108" s="237">
        <f t="shared" si="24"/>
        <v>0</v>
      </c>
      <c r="M108" s="375">
        <v>533.33000000000004</v>
      </c>
      <c r="N108" s="376"/>
      <c r="O108" s="376"/>
      <c r="P108" s="377"/>
      <c r="Q108" s="79"/>
      <c r="R108" s="80"/>
      <c r="S108" s="249"/>
      <c r="T108" s="250"/>
      <c r="U108" s="249"/>
      <c r="V108" s="250"/>
      <c r="X108" s="390">
        <f t="shared" si="27"/>
        <v>1</v>
      </c>
      <c r="Y108" s="81">
        <f t="shared" si="25"/>
        <v>1</v>
      </c>
      <c r="AA108" s="402"/>
      <c r="AB108" s="403"/>
      <c r="AC108" s="403">
        <v>1</v>
      </c>
      <c r="AD108" s="403"/>
      <c r="AE108" s="404"/>
    </row>
    <row r="109" spans="1:33" ht="12.75" customHeight="1" thickBot="1">
      <c r="A109" s="77"/>
      <c r="B109" s="256" t="s">
        <v>22</v>
      </c>
      <c r="C109" s="241">
        <v>8</v>
      </c>
      <c r="D109" s="254"/>
      <c r="E109" s="365" t="s">
        <v>21</v>
      </c>
      <c r="F109" s="233"/>
      <c r="G109" s="233"/>
      <c r="H109" s="284" t="s">
        <v>207</v>
      </c>
      <c r="I109" s="234"/>
      <c r="J109" s="235"/>
      <c r="K109" s="236">
        <f t="shared" si="23"/>
        <v>0</v>
      </c>
      <c r="L109" s="237">
        <f t="shared" si="24"/>
        <v>0</v>
      </c>
      <c r="M109" s="375"/>
      <c r="N109" s="376"/>
      <c r="O109" s="376"/>
      <c r="P109" s="377"/>
      <c r="Q109" s="79"/>
      <c r="R109" s="80"/>
      <c r="S109" s="249"/>
      <c r="T109" s="250"/>
      <c r="U109" s="249"/>
      <c r="V109" s="250"/>
      <c r="X109" s="390"/>
      <c r="Y109" s="81">
        <f t="shared" si="25"/>
        <v>0</v>
      </c>
      <c r="AA109" s="394"/>
      <c r="AB109" s="394"/>
      <c r="AC109" s="394"/>
      <c r="AD109" s="394"/>
      <c r="AE109" s="394"/>
    </row>
    <row r="110" spans="1:33" ht="12.75" customHeight="1">
      <c r="A110" s="77"/>
      <c r="B110" s="256" t="s">
        <v>22</v>
      </c>
      <c r="C110" s="241"/>
      <c r="D110" s="254">
        <v>600300</v>
      </c>
      <c r="E110" s="233" t="s">
        <v>181</v>
      </c>
      <c r="F110" s="233"/>
      <c r="G110" s="233"/>
      <c r="H110" s="284" t="s">
        <v>12</v>
      </c>
      <c r="I110" s="234">
        <v>15.002415458937207</v>
      </c>
      <c r="J110" s="235">
        <f t="shared" ref="J110:J126" si="33">Y110</f>
        <v>1</v>
      </c>
      <c r="K110" s="236">
        <f t="shared" si="23"/>
        <v>0</v>
      </c>
      <c r="L110" s="237">
        <f t="shared" si="24"/>
        <v>0</v>
      </c>
      <c r="M110" s="375">
        <v>4.1399999999999997</v>
      </c>
      <c r="N110" s="376"/>
      <c r="O110" s="376"/>
      <c r="P110" s="377"/>
      <c r="Q110" s="79"/>
      <c r="R110" s="369" t="s">
        <v>213</v>
      </c>
      <c r="S110" s="249"/>
      <c r="T110" s="250"/>
      <c r="U110" s="249"/>
      <c r="V110" s="250"/>
      <c r="X110" s="390">
        <f t="shared" si="27"/>
        <v>15.002415458937207</v>
      </c>
      <c r="Y110" s="81">
        <f t="shared" si="25"/>
        <v>1</v>
      </c>
      <c r="Z110" s="385"/>
      <c r="AA110" s="397"/>
      <c r="AB110" s="398"/>
      <c r="AC110" s="398">
        <v>15.002415458937207</v>
      </c>
      <c r="AD110" s="398"/>
      <c r="AE110" s="399"/>
    </row>
    <row r="111" spans="1:33" ht="12.75" customHeight="1">
      <c r="A111" s="77"/>
      <c r="B111" s="256" t="s">
        <v>22</v>
      </c>
      <c r="C111" s="241"/>
      <c r="D111" s="254">
        <v>601200</v>
      </c>
      <c r="E111" s="233" t="s">
        <v>182</v>
      </c>
      <c r="F111" s="233"/>
      <c r="G111" s="233"/>
      <c r="H111" s="284" t="s">
        <v>12</v>
      </c>
      <c r="I111" s="234">
        <v>10</v>
      </c>
      <c r="J111" s="235">
        <f t="shared" si="33"/>
        <v>1</v>
      </c>
      <c r="K111" s="236">
        <f t="shared" si="23"/>
        <v>0</v>
      </c>
      <c r="L111" s="237">
        <f t="shared" si="24"/>
        <v>0</v>
      </c>
      <c r="M111" s="375">
        <v>17.93</v>
      </c>
      <c r="N111" s="376"/>
      <c r="O111" s="376"/>
      <c r="P111" s="377"/>
      <c r="Q111" s="79"/>
      <c r="R111" s="368"/>
      <c r="S111" s="249"/>
      <c r="T111" s="250"/>
      <c r="U111" s="249"/>
      <c r="V111" s="250"/>
      <c r="X111" s="390">
        <f t="shared" si="27"/>
        <v>10</v>
      </c>
      <c r="Y111" s="81">
        <f t="shared" si="25"/>
        <v>1</v>
      </c>
      <c r="Z111" s="385"/>
      <c r="AA111" s="400"/>
      <c r="AB111" s="396"/>
      <c r="AC111" s="396">
        <v>10</v>
      </c>
      <c r="AD111" s="396"/>
      <c r="AE111" s="401"/>
    </row>
    <row r="112" spans="1:33" ht="12.75" customHeight="1">
      <c r="A112" s="77"/>
      <c r="B112" s="256" t="s">
        <v>22</v>
      </c>
      <c r="C112" s="241"/>
      <c r="D112" s="254">
        <v>620000</v>
      </c>
      <c r="E112" s="233" t="s">
        <v>183</v>
      </c>
      <c r="F112" s="233"/>
      <c r="G112" s="233"/>
      <c r="H112" s="284" t="s">
        <v>9</v>
      </c>
      <c r="I112" s="234"/>
      <c r="J112" s="235">
        <f t="shared" si="33"/>
        <v>0</v>
      </c>
      <c r="K112" s="236">
        <f t="shared" si="23"/>
        <v>0</v>
      </c>
      <c r="L112" s="237">
        <f t="shared" si="24"/>
        <v>0</v>
      </c>
      <c r="M112" s="375">
        <v>900</v>
      </c>
      <c r="N112" s="376"/>
      <c r="O112" s="376"/>
      <c r="P112" s="377"/>
      <c r="Q112" s="79"/>
      <c r="R112" s="80"/>
      <c r="S112" s="249"/>
      <c r="T112" s="250"/>
      <c r="U112" s="249"/>
      <c r="V112" s="250"/>
      <c r="X112" s="390">
        <f t="shared" si="27"/>
        <v>0</v>
      </c>
      <c r="Y112" s="81">
        <f t="shared" si="25"/>
        <v>0</v>
      </c>
      <c r="Z112" s="385"/>
      <c r="AA112" s="400"/>
      <c r="AB112" s="396"/>
      <c r="AC112" s="396"/>
      <c r="AD112" s="396"/>
      <c r="AE112" s="401"/>
    </row>
    <row r="113" spans="1:31" ht="12.75" customHeight="1">
      <c r="A113" s="77"/>
      <c r="B113" s="256" t="s">
        <v>22</v>
      </c>
      <c r="C113" s="241"/>
      <c r="D113" s="254">
        <v>620100</v>
      </c>
      <c r="E113" s="233" t="s">
        <v>184</v>
      </c>
      <c r="F113" s="233"/>
      <c r="G113" s="233"/>
      <c r="H113" s="284" t="s">
        <v>9</v>
      </c>
      <c r="I113" s="234">
        <v>1</v>
      </c>
      <c r="J113" s="235">
        <f t="shared" si="33"/>
        <v>1</v>
      </c>
      <c r="K113" s="236">
        <f t="shared" si="23"/>
        <v>0</v>
      </c>
      <c r="L113" s="237">
        <f t="shared" si="24"/>
        <v>0</v>
      </c>
      <c r="M113" s="375">
        <v>1410</v>
      </c>
      <c r="N113" s="376"/>
      <c r="O113" s="376"/>
      <c r="P113" s="377"/>
      <c r="Q113" s="79"/>
      <c r="R113" s="80"/>
      <c r="S113" s="249"/>
      <c r="T113" s="250"/>
      <c r="U113" s="249"/>
      <c r="V113" s="250"/>
      <c r="X113" s="390">
        <f t="shared" si="27"/>
        <v>1</v>
      </c>
      <c r="Y113" s="81">
        <f t="shared" si="25"/>
        <v>1</v>
      </c>
      <c r="Z113" s="385"/>
      <c r="AA113" s="400"/>
      <c r="AB113" s="396">
        <v>1</v>
      </c>
      <c r="AC113" s="396"/>
      <c r="AD113" s="396"/>
      <c r="AE113" s="401"/>
    </row>
    <row r="114" spans="1:31" ht="12.75" customHeight="1">
      <c r="A114" s="77"/>
      <c r="B114" s="256" t="s">
        <v>22</v>
      </c>
      <c r="C114" s="241"/>
      <c r="D114" s="254" t="s">
        <v>134</v>
      </c>
      <c r="E114" s="233" t="s">
        <v>185</v>
      </c>
      <c r="F114" s="233"/>
      <c r="G114" s="233"/>
      <c r="H114" s="284" t="s">
        <v>13</v>
      </c>
      <c r="I114" s="234"/>
      <c r="J114" s="235">
        <f t="shared" si="33"/>
        <v>0</v>
      </c>
      <c r="K114" s="236">
        <f t="shared" si="23"/>
        <v>0</v>
      </c>
      <c r="L114" s="237">
        <f t="shared" si="24"/>
        <v>0</v>
      </c>
      <c r="M114" s="375">
        <v>53.45</v>
      </c>
      <c r="N114" s="376"/>
      <c r="O114" s="376"/>
      <c r="P114" s="377"/>
      <c r="Q114" s="79"/>
      <c r="R114" s="80"/>
      <c r="S114" s="249"/>
      <c r="T114" s="250"/>
      <c r="U114" s="249"/>
      <c r="V114" s="250"/>
      <c r="X114" s="390">
        <f t="shared" si="27"/>
        <v>0</v>
      </c>
      <c r="Y114" s="81">
        <f t="shared" si="25"/>
        <v>0</v>
      </c>
      <c r="Z114" s="385"/>
      <c r="AA114" s="400"/>
      <c r="AB114" s="396"/>
      <c r="AC114" s="396"/>
      <c r="AD114" s="396"/>
      <c r="AE114" s="401"/>
    </row>
    <row r="115" spans="1:31" ht="12.75" customHeight="1">
      <c r="A115" s="77"/>
      <c r="B115" s="256" t="s">
        <v>22</v>
      </c>
      <c r="C115" s="241"/>
      <c r="D115" s="254" t="s">
        <v>135</v>
      </c>
      <c r="E115" s="233" t="s">
        <v>186</v>
      </c>
      <c r="F115" s="233"/>
      <c r="G115" s="233"/>
      <c r="H115" s="284" t="s">
        <v>13</v>
      </c>
      <c r="I115" s="234"/>
      <c r="J115" s="235">
        <f t="shared" si="33"/>
        <v>0</v>
      </c>
      <c r="K115" s="236">
        <f t="shared" si="23"/>
        <v>0</v>
      </c>
      <c r="L115" s="237">
        <f t="shared" si="24"/>
        <v>0</v>
      </c>
      <c r="M115" s="375">
        <v>104.76</v>
      </c>
      <c r="N115" s="376"/>
      <c r="O115" s="376"/>
      <c r="P115" s="377"/>
      <c r="Q115" s="79"/>
      <c r="R115" s="80"/>
      <c r="S115" s="249"/>
      <c r="T115" s="250"/>
      <c r="U115" s="249"/>
      <c r="V115" s="250"/>
      <c r="X115" s="390">
        <f t="shared" si="27"/>
        <v>0</v>
      </c>
      <c r="Y115" s="81">
        <f t="shared" si="25"/>
        <v>0</v>
      </c>
      <c r="Z115" s="385"/>
      <c r="AA115" s="400"/>
      <c r="AB115" s="396"/>
      <c r="AC115" s="396"/>
      <c r="AD115" s="396"/>
      <c r="AE115" s="401"/>
    </row>
    <row r="116" spans="1:31" ht="12.75" customHeight="1">
      <c r="A116" s="77"/>
      <c r="B116" s="256" t="s">
        <v>22</v>
      </c>
      <c r="C116" s="241"/>
      <c r="D116" s="254" t="s">
        <v>136</v>
      </c>
      <c r="E116" s="233" t="s">
        <v>187</v>
      </c>
      <c r="F116" s="233"/>
      <c r="G116" s="233"/>
      <c r="H116" s="284" t="s">
        <v>13</v>
      </c>
      <c r="I116" s="234">
        <v>10</v>
      </c>
      <c r="J116" s="235">
        <f t="shared" si="33"/>
        <v>1</v>
      </c>
      <c r="K116" s="236">
        <f t="shared" si="23"/>
        <v>0</v>
      </c>
      <c r="L116" s="237">
        <f t="shared" si="24"/>
        <v>0</v>
      </c>
      <c r="M116" s="375">
        <v>110.43</v>
      </c>
      <c r="N116" s="376"/>
      <c r="O116" s="376"/>
      <c r="P116" s="377"/>
      <c r="Q116" s="79"/>
      <c r="R116" s="80"/>
      <c r="S116" s="249"/>
      <c r="T116" s="250"/>
      <c r="U116" s="249"/>
      <c r="V116" s="250"/>
      <c r="X116" s="390">
        <f t="shared" si="27"/>
        <v>10</v>
      </c>
      <c r="Y116" s="81">
        <f t="shared" si="25"/>
        <v>1</v>
      </c>
      <c r="Z116" s="385"/>
      <c r="AA116" s="400"/>
      <c r="AB116" s="396"/>
      <c r="AC116" s="396">
        <v>10</v>
      </c>
      <c r="AD116" s="396"/>
      <c r="AE116" s="401"/>
    </row>
    <row r="117" spans="1:31" ht="12.75" customHeight="1">
      <c r="A117" s="77"/>
      <c r="B117" s="256" t="s">
        <v>22</v>
      </c>
      <c r="C117" s="241"/>
      <c r="D117" s="254" t="s">
        <v>137</v>
      </c>
      <c r="E117" s="233" t="s">
        <v>188</v>
      </c>
      <c r="F117" s="233"/>
      <c r="G117" s="233"/>
      <c r="H117" s="284" t="s">
        <v>13</v>
      </c>
      <c r="I117" s="234"/>
      <c r="J117" s="235">
        <f t="shared" si="33"/>
        <v>0</v>
      </c>
      <c r="K117" s="236">
        <f t="shared" si="23"/>
        <v>0</v>
      </c>
      <c r="L117" s="237">
        <f t="shared" si="24"/>
        <v>0</v>
      </c>
      <c r="M117" s="375">
        <v>181.82</v>
      </c>
      <c r="N117" s="376"/>
      <c r="O117" s="376"/>
      <c r="P117" s="377"/>
      <c r="Q117" s="79"/>
      <c r="R117" s="80"/>
      <c r="S117" s="249"/>
      <c r="T117" s="250"/>
      <c r="U117" s="249"/>
      <c r="V117" s="250"/>
      <c r="X117" s="390">
        <f t="shared" si="27"/>
        <v>0</v>
      </c>
      <c r="Y117" s="81">
        <f t="shared" si="25"/>
        <v>0</v>
      </c>
      <c r="Z117" s="385"/>
      <c r="AA117" s="400"/>
      <c r="AB117" s="396"/>
      <c r="AC117" s="396"/>
      <c r="AD117" s="396"/>
      <c r="AE117" s="401"/>
    </row>
    <row r="118" spans="1:31" ht="12.75" customHeight="1">
      <c r="A118" s="77"/>
      <c r="B118" s="256" t="s">
        <v>22</v>
      </c>
      <c r="C118" s="241"/>
      <c r="D118" s="254" t="s">
        <v>138</v>
      </c>
      <c r="E118" s="233" t="s">
        <v>189</v>
      </c>
      <c r="F118" s="233"/>
      <c r="G118" s="233"/>
      <c r="H118" s="284" t="s">
        <v>9</v>
      </c>
      <c r="I118" s="234">
        <v>18</v>
      </c>
      <c r="J118" s="235">
        <f t="shared" si="33"/>
        <v>1</v>
      </c>
      <c r="K118" s="236">
        <f t="shared" si="23"/>
        <v>0</v>
      </c>
      <c r="L118" s="237">
        <f t="shared" si="24"/>
        <v>0</v>
      </c>
      <c r="M118" s="375">
        <v>940.48</v>
      </c>
      <c r="N118" s="376"/>
      <c r="O118" s="376"/>
      <c r="P118" s="377"/>
      <c r="Q118" s="79"/>
      <c r="R118" s="80"/>
      <c r="S118" s="249"/>
      <c r="T118" s="250"/>
      <c r="U118" s="249"/>
      <c r="V118" s="250"/>
      <c r="X118" s="390">
        <f t="shared" si="27"/>
        <v>18</v>
      </c>
      <c r="Y118" s="81">
        <f t="shared" si="25"/>
        <v>1</v>
      </c>
      <c r="Z118" s="385"/>
      <c r="AA118" s="400">
        <v>9</v>
      </c>
      <c r="AB118" s="396">
        <f>7-0.01/M54</f>
        <v>6.9999893671316773</v>
      </c>
      <c r="AC118" s="396">
        <v>2.0000106328683227</v>
      </c>
      <c r="AD118" s="396"/>
      <c r="AE118" s="401"/>
    </row>
    <row r="119" spans="1:31" ht="12.75" customHeight="1">
      <c r="A119" s="77"/>
      <c r="B119" s="256" t="s">
        <v>22</v>
      </c>
      <c r="C119" s="241"/>
      <c r="D119" s="254" t="s">
        <v>139</v>
      </c>
      <c r="E119" s="233" t="s">
        <v>190</v>
      </c>
      <c r="F119" s="233"/>
      <c r="G119" s="233"/>
      <c r="H119" s="284" t="s">
        <v>9</v>
      </c>
      <c r="I119" s="234">
        <v>3</v>
      </c>
      <c r="J119" s="235">
        <f t="shared" si="33"/>
        <v>1</v>
      </c>
      <c r="K119" s="236">
        <f t="shared" si="23"/>
        <v>0</v>
      </c>
      <c r="L119" s="237">
        <f t="shared" si="24"/>
        <v>0</v>
      </c>
      <c r="M119" s="375">
        <v>1975</v>
      </c>
      <c r="N119" s="376"/>
      <c r="O119" s="376"/>
      <c r="P119" s="377"/>
      <c r="Q119" s="79"/>
      <c r="R119" s="80"/>
      <c r="S119" s="249"/>
      <c r="T119" s="250"/>
      <c r="U119" s="249"/>
      <c r="V119" s="250"/>
      <c r="X119" s="390">
        <f t="shared" si="27"/>
        <v>3</v>
      </c>
      <c r="Y119" s="81">
        <f t="shared" si="25"/>
        <v>1</v>
      </c>
      <c r="Z119" s="385"/>
      <c r="AA119" s="400"/>
      <c r="AB119" s="396">
        <v>3</v>
      </c>
      <c r="AC119" s="396"/>
      <c r="AD119" s="396"/>
      <c r="AE119" s="401"/>
    </row>
    <row r="120" spans="1:31" ht="12.75" customHeight="1">
      <c r="A120" s="77"/>
      <c r="B120" s="256" t="s">
        <v>22</v>
      </c>
      <c r="C120" s="241"/>
      <c r="D120" s="254" t="s">
        <v>140</v>
      </c>
      <c r="E120" s="233" t="s">
        <v>191</v>
      </c>
      <c r="F120" s="233"/>
      <c r="G120" s="233"/>
      <c r="H120" s="284" t="s">
        <v>9</v>
      </c>
      <c r="I120" s="234">
        <v>3</v>
      </c>
      <c r="J120" s="235">
        <f t="shared" si="33"/>
        <v>1</v>
      </c>
      <c r="K120" s="236">
        <f t="shared" si="23"/>
        <v>0</v>
      </c>
      <c r="L120" s="237">
        <f t="shared" si="24"/>
        <v>0</v>
      </c>
      <c r="M120" s="375">
        <v>530</v>
      </c>
      <c r="N120" s="376"/>
      <c r="O120" s="376"/>
      <c r="P120" s="377"/>
      <c r="Q120" s="79"/>
      <c r="R120" s="80"/>
      <c r="S120" s="249"/>
      <c r="T120" s="250"/>
      <c r="U120" s="249"/>
      <c r="V120" s="250"/>
      <c r="X120" s="390">
        <f t="shared" si="27"/>
        <v>3</v>
      </c>
      <c r="Y120" s="81">
        <f t="shared" si="25"/>
        <v>1</v>
      </c>
      <c r="Z120" s="385"/>
      <c r="AA120" s="400"/>
      <c r="AB120" s="396">
        <v>3</v>
      </c>
      <c r="AC120" s="396"/>
      <c r="AD120" s="396"/>
      <c r="AE120" s="401"/>
    </row>
    <row r="121" spans="1:31" ht="12.75" customHeight="1">
      <c r="A121" s="77"/>
      <c r="B121" s="256" t="s">
        <v>22</v>
      </c>
      <c r="C121" s="241"/>
      <c r="D121" s="254" t="s">
        <v>141</v>
      </c>
      <c r="E121" s="233" t="s">
        <v>192</v>
      </c>
      <c r="F121" s="233"/>
      <c r="G121" s="233"/>
      <c r="H121" s="284" t="s">
        <v>9</v>
      </c>
      <c r="I121" s="234">
        <v>3</v>
      </c>
      <c r="J121" s="235">
        <f t="shared" si="33"/>
        <v>1</v>
      </c>
      <c r="K121" s="236">
        <f t="shared" si="23"/>
        <v>0</v>
      </c>
      <c r="L121" s="237">
        <f t="shared" si="24"/>
        <v>0</v>
      </c>
      <c r="M121" s="375">
        <v>816.67</v>
      </c>
      <c r="N121" s="376"/>
      <c r="O121" s="376"/>
      <c r="P121" s="377"/>
      <c r="Q121" s="79"/>
      <c r="R121" s="80"/>
      <c r="S121" s="249"/>
      <c r="T121" s="250"/>
      <c r="U121" s="249"/>
      <c r="V121" s="250"/>
      <c r="X121" s="390">
        <f t="shared" si="27"/>
        <v>3</v>
      </c>
      <c r="Y121" s="81">
        <f t="shared" si="25"/>
        <v>1</v>
      </c>
      <c r="Z121" s="385"/>
      <c r="AA121" s="400">
        <v>2</v>
      </c>
      <c r="AB121" s="396">
        <v>1</v>
      </c>
      <c r="AC121" s="396"/>
      <c r="AD121" s="396"/>
      <c r="AE121" s="401"/>
    </row>
    <row r="122" spans="1:31" ht="12.75" customHeight="1">
      <c r="A122" s="77"/>
      <c r="B122" s="256" t="s">
        <v>22</v>
      </c>
      <c r="C122" s="241"/>
      <c r="D122" s="254" t="s">
        <v>142</v>
      </c>
      <c r="E122" s="233" t="s">
        <v>193</v>
      </c>
      <c r="F122" s="233"/>
      <c r="G122" s="233"/>
      <c r="H122" s="284" t="s">
        <v>9</v>
      </c>
      <c r="I122" s="234">
        <v>6</v>
      </c>
      <c r="J122" s="235">
        <f t="shared" si="33"/>
        <v>1</v>
      </c>
      <c r="K122" s="236">
        <f t="shared" si="23"/>
        <v>0</v>
      </c>
      <c r="L122" s="237">
        <f t="shared" si="24"/>
        <v>0</v>
      </c>
      <c r="M122" s="375">
        <v>1628</v>
      </c>
      <c r="N122" s="376"/>
      <c r="O122" s="376"/>
      <c r="P122" s="377"/>
      <c r="Q122" s="79"/>
      <c r="R122" s="80"/>
      <c r="S122" s="249"/>
      <c r="T122" s="250"/>
      <c r="U122" s="249"/>
      <c r="V122" s="250"/>
      <c r="X122" s="390">
        <f t="shared" si="27"/>
        <v>6</v>
      </c>
      <c r="Y122" s="81">
        <f t="shared" si="25"/>
        <v>1</v>
      </c>
      <c r="Z122" s="385"/>
      <c r="AA122" s="400">
        <v>2</v>
      </c>
      <c r="AB122" s="396"/>
      <c r="AC122" s="396">
        <v>4</v>
      </c>
      <c r="AD122" s="396"/>
      <c r="AE122" s="401"/>
    </row>
    <row r="123" spans="1:31" ht="12.75" customHeight="1">
      <c r="A123" s="77"/>
      <c r="B123" s="256" t="s">
        <v>22</v>
      </c>
      <c r="C123" s="241"/>
      <c r="D123" s="254" t="s">
        <v>143</v>
      </c>
      <c r="E123" s="233" t="s">
        <v>194</v>
      </c>
      <c r="F123" s="233"/>
      <c r="G123" s="233"/>
      <c r="H123" s="284" t="s">
        <v>9</v>
      </c>
      <c r="I123" s="234">
        <v>3</v>
      </c>
      <c r="J123" s="235">
        <f t="shared" si="33"/>
        <v>1</v>
      </c>
      <c r="K123" s="236">
        <f t="shared" si="23"/>
        <v>0</v>
      </c>
      <c r="L123" s="237">
        <f t="shared" si="24"/>
        <v>0</v>
      </c>
      <c r="M123" s="375">
        <v>1800</v>
      </c>
      <c r="N123" s="376"/>
      <c r="O123" s="376"/>
      <c r="P123" s="377"/>
      <c r="Q123" s="79"/>
      <c r="R123" s="80"/>
      <c r="S123" s="249"/>
      <c r="T123" s="250"/>
      <c r="U123" s="249"/>
      <c r="V123" s="250"/>
      <c r="X123" s="390">
        <f t="shared" si="27"/>
        <v>3</v>
      </c>
      <c r="Y123" s="81">
        <f t="shared" si="25"/>
        <v>1</v>
      </c>
      <c r="Z123" s="385"/>
      <c r="AA123" s="400">
        <v>1</v>
      </c>
      <c r="AB123" s="396"/>
      <c r="AC123" s="396">
        <v>2</v>
      </c>
      <c r="AD123" s="396"/>
      <c r="AE123" s="401"/>
    </row>
    <row r="124" spans="1:31" ht="12.75" customHeight="1">
      <c r="A124" s="77"/>
      <c r="B124" s="256" t="s">
        <v>22</v>
      </c>
      <c r="C124" s="241"/>
      <c r="D124" s="254" t="s">
        <v>144</v>
      </c>
      <c r="E124" s="233" t="s">
        <v>195</v>
      </c>
      <c r="F124" s="233"/>
      <c r="G124" s="233"/>
      <c r="H124" s="284" t="s">
        <v>9</v>
      </c>
      <c r="I124" s="234"/>
      <c r="J124" s="235">
        <f t="shared" si="33"/>
        <v>0</v>
      </c>
      <c r="K124" s="236">
        <f t="shared" si="23"/>
        <v>0</v>
      </c>
      <c r="L124" s="237">
        <f t="shared" si="24"/>
        <v>0</v>
      </c>
      <c r="M124" s="375">
        <v>1100</v>
      </c>
      <c r="N124" s="376"/>
      <c r="O124" s="376"/>
      <c r="P124" s="377"/>
      <c r="Q124" s="79"/>
      <c r="R124" s="80"/>
      <c r="S124" s="249"/>
      <c r="T124" s="250"/>
      <c r="U124" s="249"/>
      <c r="V124" s="250"/>
      <c r="X124" s="390">
        <f t="shared" si="27"/>
        <v>0</v>
      </c>
      <c r="Y124" s="81">
        <f t="shared" si="25"/>
        <v>0</v>
      </c>
      <c r="Z124" s="385"/>
      <c r="AA124" s="400"/>
      <c r="AB124" s="396"/>
      <c r="AC124" s="396"/>
      <c r="AD124" s="396"/>
      <c r="AE124" s="401"/>
    </row>
    <row r="125" spans="1:31" ht="12.75" customHeight="1">
      <c r="A125" s="77"/>
      <c r="B125" s="256" t="s">
        <v>22</v>
      </c>
      <c r="C125" s="241"/>
      <c r="D125" s="254" t="s">
        <v>144</v>
      </c>
      <c r="E125" s="233" t="s">
        <v>196</v>
      </c>
      <c r="F125" s="233"/>
      <c r="G125" s="233"/>
      <c r="H125" s="284" t="s">
        <v>9</v>
      </c>
      <c r="I125" s="234"/>
      <c r="J125" s="235">
        <f t="shared" si="33"/>
        <v>0</v>
      </c>
      <c r="K125" s="236">
        <f t="shared" si="23"/>
        <v>0</v>
      </c>
      <c r="L125" s="237">
        <f t="shared" si="24"/>
        <v>0</v>
      </c>
      <c r="M125" s="375">
        <v>1350</v>
      </c>
      <c r="N125" s="376"/>
      <c r="O125" s="376"/>
      <c r="P125" s="377"/>
      <c r="Q125" s="79"/>
      <c r="R125" s="80"/>
      <c r="S125" s="249"/>
      <c r="T125" s="250"/>
      <c r="U125" s="249"/>
      <c r="V125" s="250"/>
      <c r="X125" s="390">
        <f t="shared" si="27"/>
        <v>0</v>
      </c>
      <c r="Y125" s="81">
        <f t="shared" si="25"/>
        <v>0</v>
      </c>
      <c r="Z125" s="385"/>
      <c r="AA125" s="400"/>
      <c r="AB125" s="396"/>
      <c r="AC125" s="396"/>
      <c r="AD125" s="396"/>
      <c r="AE125" s="401"/>
    </row>
    <row r="126" spans="1:31" ht="12.75" customHeight="1" thickBot="1">
      <c r="A126" s="77"/>
      <c r="B126" s="256" t="s">
        <v>22</v>
      </c>
      <c r="C126" s="241"/>
      <c r="D126" s="254" t="s">
        <v>145</v>
      </c>
      <c r="E126" s="233" t="s">
        <v>197</v>
      </c>
      <c r="F126" s="233"/>
      <c r="G126" s="233"/>
      <c r="H126" s="284" t="s">
        <v>12</v>
      </c>
      <c r="I126" s="234">
        <v>10.740000000000009</v>
      </c>
      <c r="J126" s="235">
        <f t="shared" si="33"/>
        <v>0.99999999999999922</v>
      </c>
      <c r="K126" s="236">
        <f t="shared" si="23"/>
        <v>0</v>
      </c>
      <c r="L126" s="237">
        <f t="shared" si="24"/>
        <v>0</v>
      </c>
      <c r="M126" s="375">
        <v>81.96</v>
      </c>
      <c r="N126" s="376"/>
      <c r="O126" s="376"/>
      <c r="P126" s="377"/>
      <c r="Q126" s="79"/>
      <c r="R126" s="80"/>
      <c r="S126" s="249"/>
      <c r="T126" s="250"/>
      <c r="U126" s="249"/>
      <c r="V126" s="250"/>
      <c r="X126" s="390">
        <f t="shared" si="27"/>
        <v>10.74</v>
      </c>
      <c r="Y126" s="81">
        <f t="shared" si="25"/>
        <v>0.99999999999999922</v>
      </c>
      <c r="Z126" s="385"/>
      <c r="AA126" s="402"/>
      <c r="AB126" s="403"/>
      <c r="AC126" s="403">
        <v>10.74</v>
      </c>
      <c r="AD126" s="403"/>
      <c r="AE126" s="404"/>
    </row>
    <row r="127" spans="1:31" ht="12.75" customHeight="1" thickBot="1">
      <c r="A127" s="77"/>
      <c r="B127" s="256" t="s">
        <v>22</v>
      </c>
      <c r="C127" s="241">
        <v>9</v>
      </c>
      <c r="D127" s="254"/>
      <c r="E127" s="365" t="s">
        <v>198</v>
      </c>
      <c r="F127" s="233"/>
      <c r="G127" s="233"/>
      <c r="H127" s="284" t="s">
        <v>207</v>
      </c>
      <c r="I127" s="234">
        <v>0</v>
      </c>
      <c r="J127" s="235"/>
      <c r="K127" s="236">
        <f t="shared" si="23"/>
        <v>0</v>
      </c>
      <c r="L127" s="237">
        <f t="shared" si="24"/>
        <v>0</v>
      </c>
      <c r="M127" s="375"/>
      <c r="N127" s="376"/>
      <c r="O127" s="376"/>
      <c r="P127" s="377"/>
      <c r="Q127" s="79"/>
      <c r="R127" s="80"/>
      <c r="S127" s="249"/>
      <c r="T127" s="250"/>
      <c r="U127" s="249"/>
      <c r="V127" s="250"/>
      <c r="X127" s="390"/>
      <c r="Y127" s="81">
        <f t="shared" si="25"/>
        <v>0</v>
      </c>
      <c r="Z127" s="385"/>
      <c r="AA127" s="394"/>
      <c r="AB127" s="394"/>
      <c r="AC127" s="394"/>
      <c r="AD127" s="394"/>
      <c r="AE127" s="394"/>
    </row>
    <row r="128" spans="1:31" ht="12.75" customHeight="1">
      <c r="A128" s="77"/>
      <c r="B128" s="256" t="s">
        <v>22</v>
      </c>
      <c r="C128" s="241"/>
      <c r="D128" s="254" t="s">
        <v>146</v>
      </c>
      <c r="E128" s="233" t="s">
        <v>199</v>
      </c>
      <c r="F128" s="233"/>
      <c r="G128" s="233"/>
      <c r="H128" s="284" t="s">
        <v>9</v>
      </c>
      <c r="I128" s="234">
        <v>1</v>
      </c>
      <c r="J128" s="235">
        <f t="shared" ref="J128:J135" si="34">Y128</f>
        <v>0</v>
      </c>
      <c r="K128" s="236">
        <f t="shared" si="23"/>
        <v>0</v>
      </c>
      <c r="L128" s="237">
        <f t="shared" si="24"/>
        <v>0</v>
      </c>
      <c r="M128" s="375">
        <v>139</v>
      </c>
      <c r="N128" s="376"/>
      <c r="O128" s="376"/>
      <c r="P128" s="377"/>
      <c r="Q128" s="79"/>
      <c r="R128" s="368"/>
      <c r="S128" s="249"/>
      <c r="T128" s="250"/>
      <c r="U128" s="249"/>
      <c r="V128" s="250"/>
      <c r="X128" s="390">
        <f t="shared" si="27"/>
        <v>0</v>
      </c>
      <c r="Y128" s="81">
        <f t="shared" si="25"/>
        <v>0</v>
      </c>
      <c r="Z128" s="385"/>
      <c r="AA128" s="397"/>
      <c r="AB128" s="398"/>
      <c r="AC128" s="398"/>
      <c r="AD128" s="398"/>
      <c r="AE128" s="399"/>
    </row>
    <row r="129" spans="1:31" ht="12.75" customHeight="1">
      <c r="A129" s="77"/>
      <c r="B129" s="256" t="s">
        <v>22</v>
      </c>
      <c r="C129" s="241"/>
      <c r="D129" s="254" t="s">
        <v>146</v>
      </c>
      <c r="E129" s="233" t="s">
        <v>200</v>
      </c>
      <c r="F129" s="233"/>
      <c r="G129" s="233"/>
      <c r="H129" s="284" t="s">
        <v>9</v>
      </c>
      <c r="I129" s="234">
        <v>5</v>
      </c>
      <c r="J129" s="235">
        <f t="shared" si="34"/>
        <v>1</v>
      </c>
      <c r="K129" s="236">
        <f t="shared" si="23"/>
        <v>0</v>
      </c>
      <c r="L129" s="237">
        <f t="shared" si="24"/>
        <v>0</v>
      </c>
      <c r="M129" s="375">
        <v>139</v>
      </c>
      <c r="N129" s="376"/>
      <c r="O129" s="376"/>
      <c r="P129" s="377"/>
      <c r="Q129" s="79"/>
      <c r="R129" s="368"/>
      <c r="S129" s="249"/>
      <c r="T129" s="250"/>
      <c r="U129" s="249"/>
      <c r="V129" s="250"/>
      <c r="X129" s="390">
        <f t="shared" si="27"/>
        <v>5</v>
      </c>
      <c r="Y129" s="81">
        <f t="shared" si="25"/>
        <v>1</v>
      </c>
      <c r="Z129" s="385"/>
      <c r="AA129" s="400">
        <v>2</v>
      </c>
      <c r="AB129" s="396">
        <v>3</v>
      </c>
      <c r="AC129" s="396"/>
      <c r="AD129" s="396"/>
      <c r="AE129" s="401"/>
    </row>
    <row r="130" spans="1:31" ht="12.75" customHeight="1">
      <c r="A130" s="77"/>
      <c r="B130" s="256" t="s">
        <v>22</v>
      </c>
      <c r="C130" s="241"/>
      <c r="D130" s="254" t="s">
        <v>147</v>
      </c>
      <c r="E130" s="233" t="s">
        <v>201</v>
      </c>
      <c r="F130" s="233"/>
      <c r="G130" s="233"/>
      <c r="H130" s="284" t="s">
        <v>9</v>
      </c>
      <c r="I130" s="234">
        <v>5</v>
      </c>
      <c r="J130" s="235">
        <f t="shared" si="34"/>
        <v>1</v>
      </c>
      <c r="K130" s="236">
        <f t="shared" si="23"/>
        <v>0</v>
      </c>
      <c r="L130" s="237">
        <f t="shared" si="24"/>
        <v>0</v>
      </c>
      <c r="M130" s="375">
        <v>140</v>
      </c>
      <c r="N130" s="376"/>
      <c r="O130" s="376"/>
      <c r="P130" s="377"/>
      <c r="Q130" s="79"/>
      <c r="R130" s="368"/>
      <c r="S130" s="249"/>
      <c r="T130" s="250"/>
      <c r="U130" s="249"/>
      <c r="V130" s="250"/>
      <c r="X130" s="390">
        <f t="shared" si="27"/>
        <v>5</v>
      </c>
      <c r="Y130" s="81">
        <f t="shared" si="25"/>
        <v>1</v>
      </c>
      <c r="Z130" s="385"/>
      <c r="AA130" s="400">
        <v>2</v>
      </c>
      <c r="AB130" s="396">
        <v>3</v>
      </c>
      <c r="AC130" s="396"/>
      <c r="AD130" s="396"/>
      <c r="AE130" s="401"/>
    </row>
    <row r="131" spans="1:31" ht="12.75" customHeight="1">
      <c r="A131" s="77"/>
      <c r="B131" s="256" t="s">
        <v>22</v>
      </c>
      <c r="C131" s="241"/>
      <c r="D131" s="254" t="s">
        <v>148</v>
      </c>
      <c r="E131" s="233" t="s">
        <v>202</v>
      </c>
      <c r="F131" s="233"/>
      <c r="G131" s="233"/>
      <c r="H131" s="284" t="s">
        <v>9</v>
      </c>
      <c r="I131" s="234">
        <v>5</v>
      </c>
      <c r="J131" s="235">
        <f t="shared" si="34"/>
        <v>1</v>
      </c>
      <c r="K131" s="236">
        <f t="shared" si="23"/>
        <v>0</v>
      </c>
      <c r="L131" s="237">
        <f t="shared" si="24"/>
        <v>0</v>
      </c>
      <c r="M131" s="375">
        <v>170</v>
      </c>
      <c r="N131" s="376"/>
      <c r="O131" s="376"/>
      <c r="P131" s="377"/>
      <c r="Q131" s="79"/>
      <c r="R131" s="368"/>
      <c r="S131" s="249"/>
      <c r="T131" s="250"/>
      <c r="U131" s="249"/>
      <c r="V131" s="250"/>
      <c r="X131" s="390">
        <f t="shared" si="27"/>
        <v>5</v>
      </c>
      <c r="Y131" s="81">
        <f t="shared" si="25"/>
        <v>1</v>
      </c>
      <c r="Z131" s="385"/>
      <c r="AA131" s="400">
        <v>2</v>
      </c>
      <c r="AB131" s="396">
        <v>3</v>
      </c>
      <c r="AC131" s="396"/>
      <c r="AD131" s="396"/>
      <c r="AE131" s="401"/>
    </row>
    <row r="132" spans="1:31" ht="12.75" customHeight="1">
      <c r="A132" s="77"/>
      <c r="B132" s="256" t="s">
        <v>22</v>
      </c>
      <c r="C132" s="241"/>
      <c r="D132" s="254" t="s">
        <v>149</v>
      </c>
      <c r="E132" s="233" t="s">
        <v>203</v>
      </c>
      <c r="F132" s="233"/>
      <c r="G132" s="233"/>
      <c r="H132" s="284" t="s">
        <v>9</v>
      </c>
      <c r="I132" s="234">
        <v>5</v>
      </c>
      <c r="J132" s="235">
        <f t="shared" si="34"/>
        <v>1</v>
      </c>
      <c r="K132" s="236">
        <f t="shared" si="23"/>
        <v>0</v>
      </c>
      <c r="L132" s="237">
        <f t="shared" si="24"/>
        <v>0</v>
      </c>
      <c r="M132" s="375">
        <v>100</v>
      </c>
      <c r="N132" s="376"/>
      <c r="O132" s="376"/>
      <c r="P132" s="377"/>
      <c r="Q132" s="79"/>
      <c r="R132" s="368"/>
      <c r="S132" s="249"/>
      <c r="T132" s="250"/>
      <c r="U132" s="249"/>
      <c r="V132" s="250"/>
      <c r="X132" s="390">
        <f t="shared" si="27"/>
        <v>5</v>
      </c>
      <c r="Y132" s="81">
        <f t="shared" si="25"/>
        <v>1</v>
      </c>
      <c r="Z132" s="385"/>
      <c r="AA132" s="400">
        <v>2</v>
      </c>
      <c r="AB132" s="396">
        <v>3</v>
      </c>
      <c r="AC132" s="396"/>
      <c r="AD132" s="396"/>
      <c r="AE132" s="401"/>
    </row>
    <row r="133" spans="1:31" ht="12.75" customHeight="1">
      <c r="A133" s="77"/>
      <c r="B133" s="256" t="s">
        <v>22</v>
      </c>
      <c r="C133" s="241"/>
      <c r="D133" s="254" t="s">
        <v>150</v>
      </c>
      <c r="E133" s="233" t="s">
        <v>204</v>
      </c>
      <c r="F133" s="233"/>
      <c r="G133" s="233"/>
      <c r="H133" s="284" t="s">
        <v>9</v>
      </c>
      <c r="I133" s="234">
        <v>5</v>
      </c>
      <c r="J133" s="235">
        <f t="shared" si="34"/>
        <v>1</v>
      </c>
      <c r="K133" s="236">
        <f t="shared" si="23"/>
        <v>0</v>
      </c>
      <c r="L133" s="237">
        <f t="shared" si="24"/>
        <v>0</v>
      </c>
      <c r="M133" s="375">
        <v>81</v>
      </c>
      <c r="N133" s="376"/>
      <c r="O133" s="376"/>
      <c r="P133" s="377"/>
      <c r="Q133" s="79"/>
      <c r="R133" s="368"/>
      <c r="S133" s="249"/>
      <c r="T133" s="250"/>
      <c r="U133" s="249"/>
      <c r="V133" s="250"/>
      <c r="X133" s="390">
        <f t="shared" si="27"/>
        <v>5</v>
      </c>
      <c r="Y133" s="81">
        <f t="shared" si="25"/>
        <v>1</v>
      </c>
      <c r="Z133" s="385"/>
      <c r="AA133" s="400">
        <v>2</v>
      </c>
      <c r="AB133" s="396">
        <v>3</v>
      </c>
      <c r="AC133" s="396"/>
      <c r="AD133" s="396"/>
      <c r="AE133" s="401"/>
    </row>
    <row r="134" spans="1:31" ht="12.75" customHeight="1" thickBot="1">
      <c r="A134" s="77"/>
      <c r="B134" s="256" t="s">
        <v>22</v>
      </c>
      <c r="C134" s="241"/>
      <c r="D134" s="254" t="s">
        <v>151</v>
      </c>
      <c r="E134" s="233" t="s">
        <v>205</v>
      </c>
      <c r="F134" s="233"/>
      <c r="G134" s="233"/>
      <c r="H134" s="284" t="s">
        <v>9</v>
      </c>
      <c r="I134" s="234">
        <v>5</v>
      </c>
      <c r="J134" s="235">
        <f t="shared" si="34"/>
        <v>1</v>
      </c>
      <c r="K134" s="236">
        <f t="shared" si="23"/>
        <v>0</v>
      </c>
      <c r="L134" s="237">
        <f t="shared" si="24"/>
        <v>0</v>
      </c>
      <c r="M134" s="375">
        <v>131.5</v>
      </c>
      <c r="N134" s="376"/>
      <c r="O134" s="376"/>
      <c r="P134" s="377"/>
      <c r="Q134" s="79"/>
      <c r="R134" s="368"/>
      <c r="S134" s="249"/>
      <c r="T134" s="250"/>
      <c r="U134" s="249"/>
      <c r="V134" s="250"/>
      <c r="X134" s="390">
        <f t="shared" si="27"/>
        <v>5</v>
      </c>
      <c r="Y134" s="81">
        <f t="shared" si="25"/>
        <v>1</v>
      </c>
      <c r="Z134" s="385"/>
      <c r="AA134" s="402">
        <v>2</v>
      </c>
      <c r="AB134" s="403">
        <v>3</v>
      </c>
      <c r="AC134" s="403"/>
      <c r="AD134" s="403"/>
      <c r="AE134" s="404"/>
    </row>
    <row r="135" spans="1:31" ht="12.75" customHeight="1" thickBot="1">
      <c r="A135" s="77"/>
      <c r="B135" s="256" t="s">
        <v>22</v>
      </c>
      <c r="C135" s="241"/>
      <c r="D135" s="254" t="s">
        <v>152</v>
      </c>
      <c r="E135" s="233" t="s">
        <v>206</v>
      </c>
      <c r="F135" s="233"/>
      <c r="G135" s="233"/>
      <c r="H135" s="284" t="s">
        <v>14</v>
      </c>
      <c r="I135" s="234">
        <v>0</v>
      </c>
      <c r="J135" s="235">
        <f t="shared" si="34"/>
        <v>0</v>
      </c>
      <c r="K135" s="236">
        <f t="shared" si="23"/>
        <v>0</v>
      </c>
      <c r="L135" s="237">
        <f t="shared" si="24"/>
        <v>0</v>
      </c>
      <c r="M135" s="375">
        <v>5800.02</v>
      </c>
      <c r="N135" s="376"/>
      <c r="O135" s="376"/>
      <c r="P135" s="377"/>
      <c r="Q135" s="79"/>
      <c r="R135" s="368"/>
      <c r="S135" s="249"/>
      <c r="T135" s="250"/>
      <c r="U135" s="249"/>
      <c r="V135" s="250"/>
      <c r="X135" s="390">
        <f t="shared" si="27"/>
        <v>0</v>
      </c>
      <c r="Y135" s="81">
        <f t="shared" si="25"/>
        <v>0</v>
      </c>
      <c r="Z135" s="385"/>
      <c r="AA135" s="394"/>
      <c r="AB135" s="394"/>
      <c r="AC135" s="394"/>
      <c r="AD135" s="394"/>
      <c r="AE135" s="394"/>
    </row>
    <row r="136" spans="1:31" ht="12.75" customHeight="1" thickTop="1" thickBot="1">
      <c r="A136" s="77"/>
      <c r="B136" s="256" t="s">
        <v>22</v>
      </c>
      <c r="C136" s="232">
        <v>1</v>
      </c>
      <c r="D136" s="1"/>
      <c r="E136" s="371" t="s">
        <v>214</v>
      </c>
      <c r="F136" s="372"/>
      <c r="G136" s="372"/>
      <c r="H136" s="284"/>
      <c r="I136" s="234"/>
      <c r="J136" s="235"/>
      <c r="K136" s="236">
        <f>IF(ISBLANK(total),0,IF((A136)="cima",ROUNDUP(O136/total,4),IF((A136)="baixo",ROUNDDOWN(O136/total,4),ROUND(O136/total,4))))</f>
        <v>0</v>
      </c>
      <c r="L136" s="237">
        <f>IF(I136=0,0,IF(J136&gt;100%,"excesso",IF(ISNUMBER(J136),ROUND(J136*K136,4),IF(J136="&lt;excesso",ROUND(100%*K136,4),0))))</f>
        <v>0</v>
      </c>
      <c r="M136" s="375"/>
      <c r="N136" s="376"/>
      <c r="O136" s="376"/>
      <c r="P136" s="377"/>
      <c r="Q136" s="79"/>
      <c r="R136" s="80"/>
      <c r="S136" s="249"/>
      <c r="T136" s="250"/>
      <c r="U136" s="249"/>
      <c r="V136" s="250"/>
      <c r="X136" s="390"/>
      <c r="Y136" s="81">
        <f>IF(I136=0,0,X136/I136)</f>
        <v>0</v>
      </c>
      <c r="Z136" s="385"/>
      <c r="AA136" s="394"/>
      <c r="AB136" s="394"/>
      <c r="AC136" s="394"/>
      <c r="AD136" s="394"/>
      <c r="AE136" s="394"/>
    </row>
    <row r="137" spans="1:31" ht="12.75" customHeight="1" thickTop="1" thickBot="1">
      <c r="A137" s="77"/>
      <c r="B137" s="256" t="s">
        <v>22</v>
      </c>
      <c r="C137" s="232">
        <v>1</v>
      </c>
      <c r="D137" s="1"/>
      <c r="E137" s="365" t="s">
        <v>29</v>
      </c>
      <c r="F137" s="233"/>
      <c r="G137" s="233"/>
      <c r="H137" s="284"/>
      <c r="I137" s="234"/>
      <c r="J137" s="235"/>
      <c r="K137" s="236">
        <f>IF(ISBLANK(total),0,IF((A137)="cima",ROUNDUP(O137/total,4),IF((A137)="baixo",ROUNDDOWN(O137/total,4),ROUND(O137/total,4))))</f>
        <v>0</v>
      </c>
      <c r="L137" s="237">
        <f>IF(I137=0,0,IF(J137&gt;100%,"excesso",IF(ISNUMBER(J137),ROUND(J137*K137,4),IF(J137="&lt;excesso",ROUND(100%*K137,4),0))))</f>
        <v>0</v>
      </c>
      <c r="M137" s="375"/>
      <c r="N137" s="376"/>
      <c r="O137" s="376"/>
      <c r="P137" s="377"/>
      <c r="Q137" s="79"/>
      <c r="R137" s="80"/>
      <c r="S137" s="249"/>
      <c r="T137" s="250"/>
      <c r="U137" s="249"/>
      <c r="V137" s="250"/>
      <c r="X137" s="390"/>
      <c r="Y137" s="81">
        <f>IF(I137=0,0,X137/I137)</f>
        <v>0</v>
      </c>
      <c r="Z137" s="385"/>
      <c r="AA137" s="394"/>
      <c r="AB137" s="394"/>
      <c r="AC137" s="394"/>
      <c r="AD137" s="394"/>
      <c r="AE137" s="394"/>
    </row>
    <row r="138" spans="1:31" ht="12.75" customHeight="1" thickBot="1">
      <c r="A138" s="77"/>
      <c r="B138" s="256" t="s">
        <v>22</v>
      </c>
      <c r="C138" s="241"/>
      <c r="D138" s="1" t="s">
        <v>121</v>
      </c>
      <c r="E138" s="233" t="s">
        <v>153</v>
      </c>
      <c r="F138" s="233"/>
      <c r="G138" s="233"/>
      <c r="H138" s="284" t="s">
        <v>9</v>
      </c>
      <c r="I138" s="234"/>
      <c r="J138" s="235">
        <f>Y138</f>
        <v>0</v>
      </c>
      <c r="K138" s="236">
        <f t="shared" ref="K138:K199" si="35">IF(ISBLANK(total),0,IF((A138)="cima",ROUNDUP(O138/total,4),IF((A138)="baixo",ROUNDDOWN(O138/total,4),ROUND(O138/total,4))))</f>
        <v>0</v>
      </c>
      <c r="L138" s="237">
        <f t="shared" ref="L138:L199" si="36">IF(I138=0,0,IF(J138&gt;100%,"excesso",IF(ISNUMBER(J138),ROUND(J138*K138,4),IF(J138="&lt;excesso",ROUND(100%*K138,4),0))))</f>
        <v>0</v>
      </c>
      <c r="M138" s="375">
        <v>2100</v>
      </c>
      <c r="N138" s="376"/>
      <c r="O138" s="376"/>
      <c r="P138" s="377"/>
      <c r="Q138" s="79"/>
      <c r="R138" s="80"/>
      <c r="S138" s="249"/>
      <c r="T138" s="250"/>
      <c r="U138" s="249"/>
      <c r="V138" s="250"/>
      <c r="X138" s="390">
        <f t="shared" si="27"/>
        <v>0</v>
      </c>
      <c r="Y138" s="81">
        <f t="shared" ref="Y138:Y199" si="37">IF(I138=0,0,X138/I138)</f>
        <v>0</v>
      </c>
      <c r="Z138" s="385"/>
      <c r="AA138" s="405"/>
      <c r="AB138" s="406"/>
      <c r="AC138" s="406"/>
      <c r="AD138" s="406"/>
      <c r="AE138" s="407"/>
    </row>
    <row r="139" spans="1:31" ht="12.75" customHeight="1" thickBot="1">
      <c r="A139" s="77"/>
      <c r="B139" s="256" t="s">
        <v>22</v>
      </c>
      <c r="C139" s="241">
        <v>2</v>
      </c>
      <c r="D139" s="1"/>
      <c r="E139" s="365" t="s">
        <v>27</v>
      </c>
      <c r="F139" s="233"/>
      <c r="G139" s="233"/>
      <c r="H139" s="284" t="s">
        <v>207</v>
      </c>
      <c r="I139" s="234"/>
      <c r="J139" s="235"/>
      <c r="K139" s="236">
        <f t="shared" si="35"/>
        <v>0</v>
      </c>
      <c r="L139" s="237">
        <f t="shared" si="36"/>
        <v>0</v>
      </c>
      <c r="M139" s="375"/>
      <c r="N139" s="376"/>
      <c r="O139" s="376"/>
      <c r="P139" s="377"/>
      <c r="Q139" s="79"/>
      <c r="R139" s="80"/>
      <c r="S139" s="249"/>
      <c r="T139" s="250"/>
      <c r="U139" s="249"/>
      <c r="V139" s="250"/>
      <c r="X139" s="390"/>
      <c r="Y139" s="81">
        <f t="shared" si="37"/>
        <v>0</v>
      </c>
      <c r="AA139" s="394"/>
      <c r="AB139" s="394"/>
      <c r="AC139" s="394"/>
      <c r="AD139" s="394"/>
      <c r="AE139" s="394"/>
    </row>
    <row r="140" spans="1:31" ht="12.75" customHeight="1">
      <c r="A140" s="77"/>
      <c r="B140" s="256" t="s">
        <v>22</v>
      </c>
      <c r="C140" s="241"/>
      <c r="D140" s="1">
        <v>401950</v>
      </c>
      <c r="E140" s="233" t="s">
        <v>154</v>
      </c>
      <c r="F140" s="233"/>
      <c r="G140" s="233"/>
      <c r="H140" s="284" t="s">
        <v>12</v>
      </c>
      <c r="I140" s="234">
        <v>268.16000000000003</v>
      </c>
      <c r="J140" s="235">
        <f t="shared" ref="J140:J141" si="38">Y140</f>
        <v>1</v>
      </c>
      <c r="K140" s="236">
        <f t="shared" si="35"/>
        <v>0</v>
      </c>
      <c r="L140" s="237">
        <f t="shared" si="36"/>
        <v>0</v>
      </c>
      <c r="M140" s="375">
        <v>3.8</v>
      </c>
      <c r="N140" s="376"/>
      <c r="O140" s="376"/>
      <c r="P140" s="377"/>
      <c r="Q140" s="79"/>
      <c r="R140" s="80"/>
      <c r="S140" s="249"/>
      <c r="T140" s="250"/>
      <c r="U140" s="249"/>
      <c r="V140" s="250"/>
      <c r="X140" s="390">
        <f t="shared" ref="X140:X199" si="39">AA140+AB140+AC140+AD140+AE140</f>
        <v>268.16000000000003</v>
      </c>
      <c r="Y140" s="81">
        <f t="shared" si="37"/>
        <v>1</v>
      </c>
      <c r="AA140" s="397"/>
      <c r="AB140" s="398"/>
      <c r="AC140" s="398">
        <v>268.16000000000003</v>
      </c>
      <c r="AD140" s="398"/>
      <c r="AE140" s="399"/>
    </row>
    <row r="141" spans="1:31" ht="12.75" customHeight="1" thickBot="1">
      <c r="A141" s="77"/>
      <c r="B141" s="256" t="s">
        <v>22</v>
      </c>
      <c r="C141" s="241"/>
      <c r="D141" s="1">
        <v>520100</v>
      </c>
      <c r="E141" s="233" t="s">
        <v>155</v>
      </c>
      <c r="F141" s="233"/>
      <c r="G141" s="233"/>
      <c r="H141" s="284" t="s">
        <v>12</v>
      </c>
      <c r="I141" s="234">
        <v>1376.66</v>
      </c>
      <c r="J141" s="235">
        <f t="shared" si="38"/>
        <v>1</v>
      </c>
      <c r="K141" s="236">
        <f t="shared" si="35"/>
        <v>0</v>
      </c>
      <c r="L141" s="237">
        <f t="shared" si="36"/>
        <v>0</v>
      </c>
      <c r="M141" s="375">
        <v>2.99</v>
      </c>
      <c r="N141" s="376"/>
      <c r="O141" s="376"/>
      <c r="P141" s="377"/>
      <c r="Q141" s="79"/>
      <c r="R141" s="80"/>
      <c r="S141" s="249"/>
      <c r="T141" s="250"/>
      <c r="U141" s="249"/>
      <c r="V141" s="250"/>
      <c r="X141" s="390">
        <f t="shared" si="39"/>
        <v>1376.66</v>
      </c>
      <c r="Y141" s="81">
        <f t="shared" si="37"/>
        <v>1</v>
      </c>
      <c r="AA141" s="402"/>
      <c r="AB141" s="403"/>
      <c r="AC141" s="403">
        <v>1376.66</v>
      </c>
      <c r="AD141" s="403"/>
      <c r="AE141" s="404"/>
    </row>
    <row r="142" spans="1:31" ht="12.75" customHeight="1" thickBot="1">
      <c r="A142" s="77"/>
      <c r="B142" s="256" t="s">
        <v>22</v>
      </c>
      <c r="C142" s="241">
        <v>3</v>
      </c>
      <c r="D142" s="1"/>
      <c r="E142" s="365" t="s">
        <v>26</v>
      </c>
      <c r="F142" s="233"/>
      <c r="G142" s="233"/>
      <c r="H142" s="284" t="s">
        <v>207</v>
      </c>
      <c r="I142" s="234"/>
      <c r="J142" s="235"/>
      <c r="K142" s="236">
        <f t="shared" si="35"/>
        <v>0</v>
      </c>
      <c r="L142" s="237">
        <f t="shared" si="36"/>
        <v>0</v>
      </c>
      <c r="M142" s="375"/>
      <c r="N142" s="376"/>
      <c r="O142" s="376"/>
      <c r="P142" s="377"/>
      <c r="Q142" s="79"/>
      <c r="R142" s="80"/>
      <c r="S142" s="249"/>
      <c r="T142" s="250"/>
      <c r="U142" s="249"/>
      <c r="V142" s="250"/>
      <c r="X142" s="390"/>
      <c r="Y142" s="81">
        <f t="shared" si="37"/>
        <v>0</v>
      </c>
      <c r="AA142" s="394"/>
      <c r="AB142" s="394"/>
      <c r="AC142" s="394"/>
      <c r="AD142" s="394"/>
      <c r="AE142" s="394"/>
    </row>
    <row r="143" spans="1:31" ht="12.75" customHeight="1">
      <c r="A143" s="77"/>
      <c r="B143" s="256" t="s">
        <v>22</v>
      </c>
      <c r="C143" s="241"/>
      <c r="D143" s="1">
        <v>533100</v>
      </c>
      <c r="E143" s="233" t="s">
        <v>156</v>
      </c>
      <c r="F143" s="233"/>
      <c r="G143" s="233"/>
      <c r="H143" s="284" t="s">
        <v>12</v>
      </c>
      <c r="I143" s="234">
        <v>527.72</v>
      </c>
      <c r="J143" s="235">
        <f t="shared" ref="J143:J146" si="40">Y143</f>
        <v>1</v>
      </c>
      <c r="K143" s="236">
        <f t="shared" si="35"/>
        <v>0</v>
      </c>
      <c r="L143" s="237">
        <f t="shared" si="36"/>
        <v>0</v>
      </c>
      <c r="M143" s="375">
        <v>65.09</v>
      </c>
      <c r="N143" s="376"/>
      <c r="O143" s="376"/>
      <c r="P143" s="377"/>
      <c r="Q143" s="79"/>
      <c r="R143" s="80"/>
      <c r="S143" s="249"/>
      <c r="T143" s="250"/>
      <c r="U143" s="249"/>
      <c r="V143" s="250"/>
      <c r="X143" s="390">
        <f t="shared" si="39"/>
        <v>527.72</v>
      </c>
      <c r="Y143" s="81">
        <f t="shared" si="37"/>
        <v>1</v>
      </c>
      <c r="AA143" s="397"/>
      <c r="AB143" s="398"/>
      <c r="AC143" s="398">
        <v>527.72</v>
      </c>
      <c r="AD143" s="398"/>
      <c r="AE143" s="399"/>
    </row>
    <row r="144" spans="1:31" ht="12.75" customHeight="1">
      <c r="A144" s="77"/>
      <c r="B144" s="256" t="s">
        <v>22</v>
      </c>
      <c r="C144" s="241"/>
      <c r="D144" s="1">
        <v>511100</v>
      </c>
      <c r="E144" s="233" t="s">
        <v>157</v>
      </c>
      <c r="F144" s="233"/>
      <c r="G144" s="233"/>
      <c r="H144" s="284" t="s">
        <v>11</v>
      </c>
      <c r="I144" s="234">
        <v>2294.44</v>
      </c>
      <c r="J144" s="235">
        <f t="shared" si="40"/>
        <v>1</v>
      </c>
      <c r="K144" s="236">
        <f t="shared" si="35"/>
        <v>0</v>
      </c>
      <c r="L144" s="237">
        <f t="shared" si="36"/>
        <v>0</v>
      </c>
      <c r="M144" s="375">
        <v>3.08</v>
      </c>
      <c r="N144" s="376"/>
      <c r="O144" s="376"/>
      <c r="P144" s="377"/>
      <c r="Q144" s="79"/>
      <c r="R144" s="80"/>
      <c r="S144" s="249"/>
      <c r="T144" s="250"/>
      <c r="U144" s="249"/>
      <c r="V144" s="250"/>
      <c r="X144" s="390">
        <f t="shared" si="39"/>
        <v>2294.44</v>
      </c>
      <c r="Y144" s="81">
        <f t="shared" si="37"/>
        <v>1</v>
      </c>
      <c r="AA144" s="400"/>
      <c r="AB144" s="396"/>
      <c r="AC144" s="396">
        <v>2294.44</v>
      </c>
      <c r="AD144" s="396"/>
      <c r="AE144" s="401"/>
    </row>
    <row r="145" spans="1:31" ht="12.75" customHeight="1">
      <c r="A145" s="77"/>
      <c r="B145" s="256" t="s">
        <v>22</v>
      </c>
      <c r="C145" s="241"/>
      <c r="D145" s="1">
        <v>530200</v>
      </c>
      <c r="E145" s="233" t="s">
        <v>158</v>
      </c>
      <c r="F145" s="233"/>
      <c r="G145" s="233"/>
      <c r="H145" s="284" t="s">
        <v>12</v>
      </c>
      <c r="I145" s="234">
        <v>321.22000000000003</v>
      </c>
      <c r="J145" s="235">
        <f t="shared" si="40"/>
        <v>1</v>
      </c>
      <c r="K145" s="236">
        <f t="shared" si="35"/>
        <v>0</v>
      </c>
      <c r="L145" s="237">
        <f t="shared" si="36"/>
        <v>0</v>
      </c>
      <c r="M145" s="375">
        <v>110.51</v>
      </c>
      <c r="N145" s="376"/>
      <c r="O145" s="376"/>
      <c r="P145" s="377"/>
      <c r="Q145" s="79"/>
      <c r="R145" s="80"/>
      <c r="S145" s="249"/>
      <c r="T145" s="250"/>
      <c r="U145" s="249"/>
      <c r="V145" s="250"/>
      <c r="X145" s="390">
        <f t="shared" si="39"/>
        <v>321.22000000000003</v>
      </c>
      <c r="Y145" s="81">
        <f t="shared" si="37"/>
        <v>1</v>
      </c>
      <c r="AA145" s="400"/>
      <c r="AB145" s="396"/>
      <c r="AC145" s="396">
        <v>321.22000000000003</v>
      </c>
      <c r="AD145" s="396"/>
      <c r="AE145" s="401"/>
    </row>
    <row r="146" spans="1:31" ht="12.75" customHeight="1" thickBot="1">
      <c r="A146" s="77"/>
      <c r="B146" s="256" t="s">
        <v>22</v>
      </c>
      <c r="C146" s="241"/>
      <c r="D146" s="1">
        <v>531000</v>
      </c>
      <c r="E146" s="233" t="s">
        <v>159</v>
      </c>
      <c r="F146" s="233"/>
      <c r="G146" s="233"/>
      <c r="H146" s="284" t="s">
        <v>12</v>
      </c>
      <c r="I146" s="234">
        <v>362.11</v>
      </c>
      <c r="J146" s="235">
        <f t="shared" si="40"/>
        <v>1</v>
      </c>
      <c r="K146" s="236">
        <f t="shared" si="35"/>
        <v>0</v>
      </c>
      <c r="L146" s="237">
        <f t="shared" si="36"/>
        <v>0</v>
      </c>
      <c r="M146" s="375">
        <v>126.65</v>
      </c>
      <c r="N146" s="376"/>
      <c r="O146" s="376"/>
      <c r="P146" s="377"/>
      <c r="Q146" s="79"/>
      <c r="R146" s="80"/>
      <c r="S146" s="249"/>
      <c r="T146" s="250"/>
      <c r="U146" s="249"/>
      <c r="V146" s="250"/>
      <c r="X146" s="390">
        <f t="shared" si="39"/>
        <v>362.11</v>
      </c>
      <c r="Y146" s="81">
        <f t="shared" si="37"/>
        <v>1</v>
      </c>
      <c r="AA146" s="402"/>
      <c r="AB146" s="403"/>
      <c r="AC146" s="403">
        <v>362.11</v>
      </c>
      <c r="AD146" s="403"/>
      <c r="AE146" s="404"/>
    </row>
    <row r="147" spans="1:31" ht="12.75" customHeight="1" thickBot="1">
      <c r="A147" s="77"/>
      <c r="B147" s="256" t="s">
        <v>22</v>
      </c>
      <c r="C147" s="241">
        <v>4</v>
      </c>
      <c r="D147" s="1"/>
      <c r="E147" s="365" t="s">
        <v>38</v>
      </c>
      <c r="F147" s="233"/>
      <c r="G147" s="233"/>
      <c r="H147" s="284" t="s">
        <v>207</v>
      </c>
      <c r="I147" s="234"/>
      <c r="J147" s="235"/>
      <c r="K147" s="236">
        <f t="shared" si="35"/>
        <v>0</v>
      </c>
      <c r="L147" s="237">
        <f t="shared" si="36"/>
        <v>0</v>
      </c>
      <c r="M147" s="375"/>
      <c r="N147" s="376"/>
      <c r="O147" s="376"/>
      <c r="P147" s="377"/>
      <c r="Q147" s="79"/>
      <c r="R147" s="80"/>
      <c r="S147" s="249"/>
      <c r="T147" s="250"/>
      <c r="U147" s="249"/>
      <c r="V147" s="250"/>
      <c r="X147" s="390"/>
      <c r="Y147" s="81">
        <f t="shared" si="37"/>
        <v>0</v>
      </c>
      <c r="AA147" s="394"/>
      <c r="AB147" s="394"/>
      <c r="AC147" s="394"/>
      <c r="AD147" s="394"/>
      <c r="AE147" s="394"/>
    </row>
    <row r="148" spans="1:31" ht="12.75" customHeight="1">
      <c r="A148" s="77"/>
      <c r="B148" s="256" t="s">
        <v>22</v>
      </c>
      <c r="C148" s="241"/>
      <c r="D148" s="1" t="s">
        <v>122</v>
      </c>
      <c r="E148" s="233" t="s">
        <v>160</v>
      </c>
      <c r="F148" s="233"/>
      <c r="G148" s="233"/>
      <c r="H148" s="284" t="s">
        <v>11</v>
      </c>
      <c r="I148" s="234">
        <v>2011.73</v>
      </c>
      <c r="J148" s="235">
        <f t="shared" ref="J148:J153" si="41">Y148</f>
        <v>1</v>
      </c>
      <c r="K148" s="236">
        <f t="shared" si="35"/>
        <v>0</v>
      </c>
      <c r="L148" s="237">
        <f t="shared" si="36"/>
        <v>0</v>
      </c>
      <c r="M148" s="375">
        <v>0.27</v>
      </c>
      <c r="N148" s="376"/>
      <c r="O148" s="376"/>
      <c r="P148" s="377"/>
      <c r="Q148" s="79"/>
      <c r="R148" s="80"/>
      <c r="S148" s="249"/>
      <c r="T148" s="250"/>
      <c r="U148" s="249"/>
      <c r="V148" s="250"/>
      <c r="X148" s="390">
        <f t="shared" si="39"/>
        <v>2011.73</v>
      </c>
      <c r="Y148" s="81">
        <f t="shared" si="37"/>
        <v>1</v>
      </c>
      <c r="AA148" s="397"/>
      <c r="AB148" s="398"/>
      <c r="AC148" s="398">
        <v>2011.73</v>
      </c>
      <c r="AD148" s="398"/>
      <c r="AE148" s="399"/>
    </row>
    <row r="149" spans="1:31" ht="12.75" customHeight="1">
      <c r="A149" s="77"/>
      <c r="B149" s="256" t="s">
        <v>22</v>
      </c>
      <c r="C149" s="241"/>
      <c r="D149" s="1">
        <v>589190</v>
      </c>
      <c r="E149" s="233" t="s">
        <v>161</v>
      </c>
      <c r="F149" s="233"/>
      <c r="G149" s="233"/>
      <c r="H149" s="284" t="s">
        <v>114</v>
      </c>
      <c r="I149" s="234">
        <v>2.21</v>
      </c>
      <c r="J149" s="235">
        <f t="shared" si="41"/>
        <v>0.98190045248868774</v>
      </c>
      <c r="K149" s="236">
        <f t="shared" si="35"/>
        <v>0</v>
      </c>
      <c r="L149" s="237">
        <f t="shared" si="36"/>
        <v>0</v>
      </c>
      <c r="M149" s="375">
        <v>4201.68</v>
      </c>
      <c r="N149" s="376"/>
      <c r="O149" s="376"/>
      <c r="P149" s="377"/>
      <c r="Q149" s="79"/>
      <c r="R149" s="80"/>
      <c r="S149" s="249"/>
      <c r="T149" s="250"/>
      <c r="U149" s="249"/>
      <c r="V149" s="250"/>
      <c r="X149" s="390">
        <f t="shared" si="39"/>
        <v>2.17</v>
      </c>
      <c r="Y149" s="81">
        <f t="shared" si="37"/>
        <v>0.98190045248868774</v>
      </c>
      <c r="AA149" s="400"/>
      <c r="AB149" s="396"/>
      <c r="AC149" s="396">
        <v>2.17</v>
      </c>
      <c r="AD149" s="396"/>
      <c r="AE149" s="401"/>
    </row>
    <row r="150" spans="1:31" ht="12.75" customHeight="1">
      <c r="A150" s="77"/>
      <c r="B150" s="256" t="s">
        <v>22</v>
      </c>
      <c r="C150" s="241"/>
      <c r="D150" s="1">
        <v>561100</v>
      </c>
      <c r="E150" s="233" t="s">
        <v>162</v>
      </c>
      <c r="F150" s="233"/>
      <c r="G150" s="233"/>
      <c r="H150" s="284" t="s">
        <v>11</v>
      </c>
      <c r="I150" s="234">
        <v>2011.73</v>
      </c>
      <c r="J150" s="235">
        <f t="shared" si="41"/>
        <v>1</v>
      </c>
      <c r="K150" s="236">
        <f t="shared" si="35"/>
        <v>0</v>
      </c>
      <c r="L150" s="237">
        <f t="shared" si="36"/>
        <v>0</v>
      </c>
      <c r="M150" s="375">
        <v>0.28000000000000003</v>
      </c>
      <c r="N150" s="376"/>
      <c r="O150" s="376"/>
      <c r="P150" s="377"/>
      <c r="Q150" s="79"/>
      <c r="R150" s="80"/>
      <c r="S150" s="249"/>
      <c r="T150" s="250"/>
      <c r="U150" s="249"/>
      <c r="V150" s="250"/>
      <c r="X150" s="390">
        <f t="shared" si="39"/>
        <v>2011.73</v>
      </c>
      <c r="Y150" s="81">
        <f t="shared" si="37"/>
        <v>1</v>
      </c>
      <c r="AA150" s="400"/>
      <c r="AB150" s="396"/>
      <c r="AC150" s="396">
        <v>2011.73</v>
      </c>
      <c r="AD150" s="396"/>
      <c r="AE150" s="401"/>
    </row>
    <row r="151" spans="1:31" ht="12.75" customHeight="1">
      <c r="A151" s="77"/>
      <c r="B151" s="256" t="s">
        <v>22</v>
      </c>
      <c r="C151" s="241"/>
      <c r="D151" s="1" t="s">
        <v>123</v>
      </c>
      <c r="E151" s="233" t="s">
        <v>163</v>
      </c>
      <c r="F151" s="233"/>
      <c r="G151" s="233"/>
      <c r="H151" s="284" t="s">
        <v>114</v>
      </c>
      <c r="I151" s="234">
        <v>1.01</v>
      </c>
      <c r="J151" s="235">
        <f t="shared" si="41"/>
        <v>0.96039603960396036</v>
      </c>
      <c r="K151" s="236">
        <f t="shared" si="35"/>
        <v>0</v>
      </c>
      <c r="L151" s="237">
        <f t="shared" si="36"/>
        <v>0</v>
      </c>
      <c r="M151" s="375">
        <v>3616.24</v>
      </c>
      <c r="N151" s="376"/>
      <c r="O151" s="376"/>
      <c r="P151" s="377"/>
      <c r="Q151" s="79"/>
      <c r="R151" s="80"/>
      <c r="S151" s="249"/>
      <c r="T151" s="250"/>
      <c r="U151" s="249"/>
      <c r="V151" s="250"/>
      <c r="X151" s="390">
        <f t="shared" si="39"/>
        <v>0.97</v>
      </c>
      <c r="Y151" s="81">
        <f t="shared" si="37"/>
        <v>0.96039603960396036</v>
      </c>
      <c r="AA151" s="400"/>
      <c r="AB151" s="396"/>
      <c r="AC151" s="396">
        <v>0.97</v>
      </c>
      <c r="AD151" s="396"/>
      <c r="AE151" s="401"/>
    </row>
    <row r="152" spans="1:31" ht="12.75" customHeight="1">
      <c r="A152" s="77"/>
      <c r="B152" s="256" t="s">
        <v>22</v>
      </c>
      <c r="C152" s="241"/>
      <c r="D152" s="1">
        <v>570000</v>
      </c>
      <c r="E152" s="233" t="s">
        <v>164</v>
      </c>
      <c r="F152" s="233"/>
      <c r="G152" s="233"/>
      <c r="H152" s="284" t="s">
        <v>114</v>
      </c>
      <c r="I152" s="234">
        <v>241.4</v>
      </c>
      <c r="J152" s="235">
        <f t="shared" si="41"/>
        <v>0.97054681027340506</v>
      </c>
      <c r="K152" s="236">
        <f t="shared" si="35"/>
        <v>0</v>
      </c>
      <c r="L152" s="237">
        <f t="shared" si="36"/>
        <v>0</v>
      </c>
      <c r="M152" s="375">
        <v>187.08</v>
      </c>
      <c r="N152" s="376"/>
      <c r="O152" s="376"/>
      <c r="P152" s="377"/>
      <c r="Q152" s="79"/>
      <c r="R152" s="80"/>
      <c r="S152" s="249"/>
      <c r="T152" s="250"/>
      <c r="U152" s="249"/>
      <c r="V152" s="250"/>
      <c r="X152" s="390">
        <f t="shared" si="39"/>
        <v>234.29</v>
      </c>
      <c r="Y152" s="81">
        <f t="shared" si="37"/>
        <v>0.97054681027340506</v>
      </c>
      <c r="AA152" s="400"/>
      <c r="AB152" s="396"/>
      <c r="AC152" s="396">
        <v>234.29</v>
      </c>
      <c r="AD152" s="396"/>
      <c r="AE152" s="401"/>
    </row>
    <row r="153" spans="1:31" ht="12.75" customHeight="1" thickBot="1">
      <c r="A153" s="77"/>
      <c r="B153" s="256" t="s">
        <v>22</v>
      </c>
      <c r="C153" s="241"/>
      <c r="D153" s="1" t="s">
        <v>124</v>
      </c>
      <c r="E153" s="233" t="s">
        <v>165</v>
      </c>
      <c r="F153" s="233"/>
      <c r="G153" s="233"/>
      <c r="H153" s="284" t="s">
        <v>114</v>
      </c>
      <c r="I153" s="234">
        <v>13.28</v>
      </c>
      <c r="J153" s="235">
        <f t="shared" si="41"/>
        <v>0.87274096385542177</v>
      </c>
      <c r="K153" s="236">
        <f t="shared" si="35"/>
        <v>0</v>
      </c>
      <c r="L153" s="237">
        <f t="shared" si="36"/>
        <v>0</v>
      </c>
      <c r="M153" s="375">
        <v>5323.62</v>
      </c>
      <c r="N153" s="376"/>
      <c r="O153" s="376"/>
      <c r="P153" s="377"/>
      <c r="Q153" s="79"/>
      <c r="R153" s="80"/>
      <c r="S153" s="249"/>
      <c r="T153" s="250"/>
      <c r="U153" s="249"/>
      <c r="V153" s="250"/>
      <c r="X153" s="390">
        <f t="shared" si="39"/>
        <v>11.59</v>
      </c>
      <c r="Y153" s="81">
        <f t="shared" si="37"/>
        <v>0.87274096385542177</v>
      </c>
      <c r="AA153" s="402"/>
      <c r="AB153" s="403"/>
      <c r="AC153" s="403">
        <v>11.59</v>
      </c>
      <c r="AD153" s="403"/>
      <c r="AE153" s="404"/>
    </row>
    <row r="154" spans="1:31" ht="12.75" customHeight="1" thickBot="1">
      <c r="A154" s="77"/>
      <c r="B154" s="256" t="s">
        <v>22</v>
      </c>
      <c r="C154" s="241">
        <v>5</v>
      </c>
      <c r="D154" s="1"/>
      <c r="E154" s="365" t="s">
        <v>37</v>
      </c>
      <c r="F154" s="233"/>
      <c r="G154" s="233"/>
      <c r="H154" s="284" t="s">
        <v>207</v>
      </c>
      <c r="I154" s="234"/>
      <c r="J154" s="235"/>
      <c r="K154" s="236">
        <f t="shared" si="35"/>
        <v>0</v>
      </c>
      <c r="L154" s="237">
        <f t="shared" si="36"/>
        <v>0</v>
      </c>
      <c r="M154" s="375"/>
      <c r="N154" s="376"/>
      <c r="O154" s="376"/>
      <c r="P154" s="377"/>
      <c r="Q154" s="79"/>
      <c r="R154" s="80"/>
      <c r="S154" s="249"/>
      <c r="T154" s="250"/>
      <c r="U154" s="249"/>
      <c r="V154" s="250"/>
      <c r="X154" s="390"/>
      <c r="Y154" s="81">
        <f t="shared" si="37"/>
        <v>0</v>
      </c>
      <c r="AA154" s="394"/>
      <c r="AB154" s="394"/>
      <c r="AC154" s="394"/>
      <c r="AD154" s="394"/>
      <c r="AE154" s="394"/>
    </row>
    <row r="155" spans="1:31" ht="12.75" customHeight="1">
      <c r="A155" s="77"/>
      <c r="B155" s="256" t="s">
        <v>22</v>
      </c>
      <c r="C155" s="241"/>
      <c r="D155" s="1">
        <v>810150</v>
      </c>
      <c r="E155" s="233" t="s">
        <v>166</v>
      </c>
      <c r="F155" s="233"/>
      <c r="G155" s="233"/>
      <c r="H155" s="284" t="s">
        <v>13</v>
      </c>
      <c r="I155" s="234">
        <v>481</v>
      </c>
      <c r="J155" s="235">
        <f t="shared" ref="J155:J156" si="42">Y155</f>
        <v>1</v>
      </c>
      <c r="K155" s="236">
        <f t="shared" si="35"/>
        <v>0</v>
      </c>
      <c r="L155" s="237">
        <f t="shared" si="36"/>
        <v>0</v>
      </c>
      <c r="M155" s="375">
        <v>41.67</v>
      </c>
      <c r="N155" s="376"/>
      <c r="O155" s="376"/>
      <c r="P155" s="377"/>
      <c r="Q155" s="79"/>
      <c r="R155" s="80"/>
      <c r="S155" s="249"/>
      <c r="T155" s="250"/>
      <c r="U155" s="249"/>
      <c r="V155" s="250"/>
      <c r="X155" s="390">
        <f t="shared" si="39"/>
        <v>481</v>
      </c>
      <c r="Y155" s="81">
        <f t="shared" si="37"/>
        <v>1</v>
      </c>
      <c r="AA155" s="397"/>
      <c r="AB155" s="398"/>
      <c r="AC155" s="398">
        <v>481</v>
      </c>
      <c r="AD155" s="398"/>
      <c r="AE155" s="399"/>
    </row>
    <row r="156" spans="1:31" ht="12.75" customHeight="1" thickBot="1">
      <c r="A156" s="77"/>
      <c r="B156" s="256" t="s">
        <v>22</v>
      </c>
      <c r="C156" s="241"/>
      <c r="D156" s="1">
        <v>810650</v>
      </c>
      <c r="E156" s="233" t="s">
        <v>167</v>
      </c>
      <c r="F156" s="233"/>
      <c r="G156" s="233"/>
      <c r="H156" s="284" t="s">
        <v>13</v>
      </c>
      <c r="I156" s="234">
        <v>70</v>
      </c>
      <c r="J156" s="235">
        <f t="shared" si="42"/>
        <v>1</v>
      </c>
      <c r="K156" s="236">
        <f t="shared" si="35"/>
        <v>0</v>
      </c>
      <c r="L156" s="237">
        <f t="shared" si="36"/>
        <v>0</v>
      </c>
      <c r="M156" s="375">
        <v>39.53</v>
      </c>
      <c r="N156" s="376"/>
      <c r="O156" s="376"/>
      <c r="P156" s="377"/>
      <c r="Q156" s="79"/>
      <c r="R156" s="80"/>
      <c r="S156" s="249"/>
      <c r="T156" s="250"/>
      <c r="U156" s="249"/>
      <c r="V156" s="250"/>
      <c r="X156" s="390">
        <f t="shared" si="39"/>
        <v>70</v>
      </c>
      <c r="Y156" s="81">
        <f t="shared" si="37"/>
        <v>1</v>
      </c>
      <c r="AA156" s="402"/>
      <c r="AB156" s="403"/>
      <c r="AC156" s="403">
        <v>70</v>
      </c>
      <c r="AD156" s="403"/>
      <c r="AE156" s="404"/>
    </row>
    <row r="157" spans="1:31" ht="12.75" customHeight="1" thickBot="1">
      <c r="A157" s="77"/>
      <c r="B157" s="256" t="s">
        <v>22</v>
      </c>
      <c r="C157" s="241">
        <v>6</v>
      </c>
      <c r="D157" s="1"/>
      <c r="E157" s="365" t="s">
        <v>168</v>
      </c>
      <c r="F157" s="233"/>
      <c r="G157" s="233"/>
      <c r="H157" s="284" t="s">
        <v>207</v>
      </c>
      <c r="I157" s="234"/>
      <c r="J157" s="235"/>
      <c r="K157" s="236">
        <f t="shared" si="35"/>
        <v>0</v>
      </c>
      <c r="L157" s="237">
        <f t="shared" si="36"/>
        <v>0</v>
      </c>
      <c r="M157" s="375"/>
      <c r="N157" s="376"/>
      <c r="O157" s="376"/>
      <c r="P157" s="377"/>
      <c r="Q157" s="79"/>
      <c r="R157" s="80"/>
      <c r="S157" s="249"/>
      <c r="T157" s="250"/>
      <c r="U157" s="249"/>
      <c r="V157" s="250"/>
      <c r="X157" s="390"/>
      <c r="Y157" s="81">
        <f t="shared" si="37"/>
        <v>0</v>
      </c>
      <c r="AA157" s="394"/>
      <c r="AB157" s="394"/>
      <c r="AC157" s="394"/>
      <c r="AD157" s="394"/>
      <c r="AE157" s="394"/>
    </row>
    <row r="158" spans="1:31" ht="12.75" customHeight="1">
      <c r="A158" s="77"/>
      <c r="B158" s="256" t="s">
        <v>22</v>
      </c>
      <c r="C158" s="241"/>
      <c r="D158" s="1" t="s">
        <v>125</v>
      </c>
      <c r="E158" s="233" t="s">
        <v>169</v>
      </c>
      <c r="F158" s="233"/>
      <c r="G158" s="233"/>
      <c r="H158" s="284" t="s">
        <v>13</v>
      </c>
      <c r="I158" s="234">
        <v>621.58000000000004</v>
      </c>
      <c r="J158" s="235">
        <f t="shared" ref="J158:J167" si="43">Y158</f>
        <v>1</v>
      </c>
      <c r="K158" s="236">
        <f t="shared" si="35"/>
        <v>0</v>
      </c>
      <c r="L158" s="237">
        <f t="shared" si="36"/>
        <v>0</v>
      </c>
      <c r="M158" s="375">
        <v>13.11</v>
      </c>
      <c r="N158" s="376"/>
      <c r="O158" s="376"/>
      <c r="P158" s="377"/>
      <c r="Q158" s="79"/>
      <c r="R158" s="80"/>
      <c r="S158" s="249"/>
      <c r="T158" s="250"/>
      <c r="U158" s="249"/>
      <c r="V158" s="250"/>
      <c r="X158" s="390">
        <f t="shared" si="39"/>
        <v>621.58000000000004</v>
      </c>
      <c r="Y158" s="81">
        <f t="shared" si="37"/>
        <v>1</v>
      </c>
      <c r="AA158" s="397"/>
      <c r="AB158" s="398"/>
      <c r="AC158" s="398">
        <v>621.58000000000004</v>
      </c>
      <c r="AD158" s="398"/>
      <c r="AE158" s="399"/>
    </row>
    <row r="159" spans="1:31" ht="12.75" customHeight="1">
      <c r="A159" s="77"/>
      <c r="B159" s="256" t="s">
        <v>22</v>
      </c>
      <c r="C159" s="241"/>
      <c r="D159" s="1">
        <v>511000</v>
      </c>
      <c r="E159" s="233" t="s">
        <v>170</v>
      </c>
      <c r="F159" s="233"/>
      <c r="G159" s="233"/>
      <c r="H159" s="284" t="s">
        <v>11</v>
      </c>
      <c r="I159" s="234">
        <v>711.75</v>
      </c>
      <c r="J159" s="235">
        <f t="shared" si="43"/>
        <v>1</v>
      </c>
      <c r="K159" s="236">
        <f t="shared" si="35"/>
        <v>0</v>
      </c>
      <c r="L159" s="237">
        <f t="shared" si="36"/>
        <v>0</v>
      </c>
      <c r="M159" s="375">
        <v>2.33</v>
      </c>
      <c r="N159" s="376"/>
      <c r="O159" s="376"/>
      <c r="P159" s="377"/>
      <c r="Q159" s="79"/>
      <c r="R159" s="80"/>
      <c r="S159" s="249"/>
      <c r="T159" s="250"/>
      <c r="U159" s="249"/>
      <c r="V159" s="250"/>
      <c r="X159" s="390">
        <f t="shared" si="39"/>
        <v>711.75</v>
      </c>
      <c r="Y159" s="81">
        <f t="shared" si="37"/>
        <v>1</v>
      </c>
      <c r="AA159" s="400"/>
      <c r="AB159" s="396"/>
      <c r="AC159" s="396">
        <v>711.75</v>
      </c>
      <c r="AD159" s="396"/>
      <c r="AE159" s="401"/>
    </row>
    <row r="160" spans="1:31" ht="12.75" customHeight="1">
      <c r="A160" s="77"/>
      <c r="B160" s="256" t="s">
        <v>22</v>
      </c>
      <c r="C160" s="241"/>
      <c r="D160" s="1">
        <v>530200</v>
      </c>
      <c r="E160" s="233" t="s">
        <v>171</v>
      </c>
      <c r="F160" s="233"/>
      <c r="G160" s="233"/>
      <c r="H160" s="284" t="s">
        <v>12</v>
      </c>
      <c r="I160" s="234">
        <v>20.100000000000001</v>
      </c>
      <c r="J160" s="235">
        <f t="shared" si="43"/>
        <v>1</v>
      </c>
      <c r="K160" s="236">
        <f t="shared" si="35"/>
        <v>0</v>
      </c>
      <c r="L160" s="237">
        <f t="shared" si="36"/>
        <v>0</v>
      </c>
      <c r="M160" s="375">
        <v>95.81</v>
      </c>
      <c r="N160" s="376"/>
      <c r="O160" s="376"/>
      <c r="P160" s="377"/>
      <c r="Q160" s="79"/>
      <c r="R160" s="80"/>
      <c r="S160" s="249"/>
      <c r="T160" s="250"/>
      <c r="U160" s="249"/>
      <c r="V160" s="250"/>
      <c r="X160" s="390">
        <f t="shared" si="39"/>
        <v>20.100000000000001</v>
      </c>
      <c r="Y160" s="81">
        <f t="shared" si="37"/>
        <v>1</v>
      </c>
      <c r="AA160" s="400"/>
      <c r="AB160" s="396"/>
      <c r="AC160" s="396">
        <v>20.100000000000001</v>
      </c>
      <c r="AD160" s="396"/>
      <c r="AE160" s="401"/>
    </row>
    <row r="161" spans="1:33" s="82" customFormat="1" ht="12.75" customHeight="1">
      <c r="A161" s="77"/>
      <c r="B161" s="256" t="s">
        <v>22</v>
      </c>
      <c r="C161" s="241"/>
      <c r="D161" s="254" t="s">
        <v>126</v>
      </c>
      <c r="E161" s="233" t="s">
        <v>172</v>
      </c>
      <c r="F161" s="233"/>
      <c r="G161" s="233"/>
      <c r="H161" s="284" t="s">
        <v>12</v>
      </c>
      <c r="I161" s="234">
        <v>72.010000000000005</v>
      </c>
      <c r="J161" s="235">
        <f t="shared" si="43"/>
        <v>1</v>
      </c>
      <c r="K161" s="236">
        <f t="shared" si="35"/>
        <v>0</v>
      </c>
      <c r="L161" s="237">
        <f t="shared" si="36"/>
        <v>0</v>
      </c>
      <c r="M161" s="375">
        <v>119.83</v>
      </c>
      <c r="N161" s="376"/>
      <c r="O161" s="376"/>
      <c r="P161" s="377"/>
      <c r="Q161" s="79"/>
      <c r="R161" s="80"/>
      <c r="S161" s="249"/>
      <c r="T161" s="250"/>
      <c r="U161" s="249"/>
      <c r="V161" s="250"/>
      <c r="X161" s="390">
        <f t="shared" si="39"/>
        <v>72.010000000000005</v>
      </c>
      <c r="Y161" s="81">
        <f t="shared" si="37"/>
        <v>1</v>
      </c>
      <c r="Z161" s="19"/>
      <c r="AA161" s="400"/>
      <c r="AB161" s="396"/>
      <c r="AC161" s="396">
        <v>72.010000000000005</v>
      </c>
      <c r="AD161" s="396"/>
      <c r="AE161" s="401"/>
      <c r="AF161" s="393"/>
      <c r="AG161" s="393"/>
    </row>
    <row r="162" spans="1:33" ht="12.75" customHeight="1">
      <c r="A162" s="77"/>
      <c r="B162" s="256" t="s">
        <v>22</v>
      </c>
      <c r="C162" s="241"/>
      <c r="D162" s="254" t="s">
        <v>127</v>
      </c>
      <c r="E162" s="233" t="s">
        <v>162</v>
      </c>
      <c r="F162" s="233"/>
      <c r="G162" s="233"/>
      <c r="H162" s="284" t="s">
        <v>11</v>
      </c>
      <c r="I162" s="234">
        <v>711.75</v>
      </c>
      <c r="J162" s="235">
        <f t="shared" si="43"/>
        <v>1</v>
      </c>
      <c r="K162" s="236">
        <f t="shared" si="35"/>
        <v>0</v>
      </c>
      <c r="L162" s="237">
        <f t="shared" si="36"/>
        <v>0</v>
      </c>
      <c r="M162" s="375">
        <v>0.3</v>
      </c>
      <c r="N162" s="376"/>
      <c r="O162" s="376"/>
      <c r="P162" s="377"/>
      <c r="Q162" s="79"/>
      <c r="R162" s="80"/>
      <c r="S162" s="249"/>
      <c r="T162" s="250"/>
      <c r="U162" s="249"/>
      <c r="V162" s="250"/>
      <c r="X162" s="390">
        <f t="shared" si="39"/>
        <v>711.75</v>
      </c>
      <c r="Y162" s="81">
        <f t="shared" si="37"/>
        <v>1</v>
      </c>
      <c r="AA162" s="400"/>
      <c r="AB162" s="396"/>
      <c r="AC162" s="396">
        <v>711.75</v>
      </c>
      <c r="AD162" s="396"/>
      <c r="AE162" s="401"/>
    </row>
    <row r="163" spans="1:33" ht="12.75" customHeight="1">
      <c r="A163" s="77"/>
      <c r="B163" s="256" t="s">
        <v>22</v>
      </c>
      <c r="C163" s="241"/>
      <c r="D163" s="254" t="s">
        <v>128</v>
      </c>
      <c r="E163" s="233" t="s">
        <v>173</v>
      </c>
      <c r="F163" s="233"/>
      <c r="G163" s="233"/>
      <c r="H163" s="284" t="s">
        <v>114</v>
      </c>
      <c r="I163" s="234">
        <v>0.36</v>
      </c>
      <c r="J163" s="235">
        <f t="shared" si="43"/>
        <v>1</v>
      </c>
      <c r="K163" s="236">
        <f t="shared" si="35"/>
        <v>0</v>
      </c>
      <c r="L163" s="237">
        <f t="shared" si="36"/>
        <v>0</v>
      </c>
      <c r="M163" s="375">
        <v>3821.78</v>
      </c>
      <c r="N163" s="376"/>
      <c r="O163" s="376"/>
      <c r="P163" s="377"/>
      <c r="Q163" s="79"/>
      <c r="R163" s="80"/>
      <c r="S163" s="249"/>
      <c r="T163" s="250"/>
      <c r="U163" s="249"/>
      <c r="V163" s="250"/>
      <c r="X163" s="390">
        <f t="shared" si="39"/>
        <v>0.36</v>
      </c>
      <c r="Y163" s="81">
        <f t="shared" si="37"/>
        <v>1</v>
      </c>
      <c r="AA163" s="400"/>
      <c r="AB163" s="396"/>
      <c r="AC163" s="396">
        <v>0.36</v>
      </c>
      <c r="AD163" s="396"/>
      <c r="AE163" s="401"/>
    </row>
    <row r="164" spans="1:33" ht="12.75" customHeight="1">
      <c r="A164" s="77"/>
      <c r="B164" s="256" t="s">
        <v>22</v>
      </c>
      <c r="C164" s="241"/>
      <c r="D164" s="254">
        <v>570000</v>
      </c>
      <c r="E164" s="233" t="s">
        <v>174</v>
      </c>
      <c r="F164" s="233"/>
      <c r="G164" s="233"/>
      <c r="H164" s="284" t="s">
        <v>114</v>
      </c>
      <c r="I164" s="234">
        <v>51.85</v>
      </c>
      <c r="J164" s="235">
        <f t="shared" si="43"/>
        <v>1</v>
      </c>
      <c r="K164" s="236">
        <f t="shared" si="35"/>
        <v>0</v>
      </c>
      <c r="L164" s="237">
        <f t="shared" si="36"/>
        <v>0</v>
      </c>
      <c r="M164" s="375">
        <v>208.03</v>
      </c>
      <c r="N164" s="376"/>
      <c r="O164" s="376"/>
      <c r="P164" s="377"/>
      <c r="Q164" s="79"/>
      <c r="R164" s="80"/>
      <c r="S164" s="249"/>
      <c r="T164" s="250"/>
      <c r="U164" s="249"/>
      <c r="V164" s="250"/>
      <c r="X164" s="390">
        <f t="shared" si="39"/>
        <v>51.85</v>
      </c>
      <c r="Y164" s="81">
        <f t="shared" si="37"/>
        <v>1</v>
      </c>
      <c r="AA164" s="400"/>
      <c r="AB164" s="396"/>
      <c r="AC164" s="396">
        <v>51.85</v>
      </c>
      <c r="AD164" s="396"/>
      <c r="AE164" s="401"/>
    </row>
    <row r="165" spans="1:33" ht="12.75" customHeight="1">
      <c r="A165" s="77"/>
      <c r="B165" s="256" t="s">
        <v>22</v>
      </c>
      <c r="C165" s="241"/>
      <c r="D165" s="254" t="s">
        <v>129</v>
      </c>
      <c r="E165" s="233" t="s">
        <v>165</v>
      </c>
      <c r="F165" s="233"/>
      <c r="G165" s="233"/>
      <c r="H165" s="284" t="s">
        <v>114</v>
      </c>
      <c r="I165" s="234">
        <v>2.96</v>
      </c>
      <c r="J165" s="235">
        <f t="shared" si="43"/>
        <v>1</v>
      </c>
      <c r="K165" s="236">
        <f t="shared" si="35"/>
        <v>0</v>
      </c>
      <c r="L165" s="237">
        <f t="shared" si="36"/>
        <v>0</v>
      </c>
      <c r="M165" s="375">
        <v>5427.67</v>
      </c>
      <c r="N165" s="376"/>
      <c r="O165" s="376"/>
      <c r="P165" s="377"/>
      <c r="Q165" s="79"/>
      <c r="R165" s="80"/>
      <c r="S165" s="249"/>
      <c r="T165" s="250"/>
      <c r="U165" s="249"/>
      <c r="V165" s="250"/>
      <c r="X165" s="390">
        <f t="shared" si="39"/>
        <v>2.96</v>
      </c>
      <c r="Y165" s="81">
        <f t="shared" si="37"/>
        <v>1</v>
      </c>
      <c r="AA165" s="400"/>
      <c r="AB165" s="396"/>
      <c r="AC165" s="396">
        <v>2.96</v>
      </c>
      <c r="AD165" s="396"/>
      <c r="AE165" s="401"/>
    </row>
    <row r="166" spans="1:33" ht="12.75" customHeight="1">
      <c r="A166" s="77"/>
      <c r="B166" s="256" t="s">
        <v>22</v>
      </c>
      <c r="C166" s="241"/>
      <c r="D166" s="254">
        <v>98504</v>
      </c>
      <c r="E166" s="233" t="s">
        <v>175</v>
      </c>
      <c r="F166" s="233"/>
      <c r="G166" s="233"/>
      <c r="H166" s="284" t="s">
        <v>11</v>
      </c>
      <c r="I166" s="234">
        <v>629.25</v>
      </c>
      <c r="J166" s="235">
        <f t="shared" si="43"/>
        <v>1</v>
      </c>
      <c r="K166" s="236">
        <f t="shared" si="35"/>
        <v>0</v>
      </c>
      <c r="L166" s="237">
        <f t="shared" si="36"/>
        <v>0</v>
      </c>
      <c r="M166" s="375">
        <v>11.26</v>
      </c>
      <c r="N166" s="376"/>
      <c r="O166" s="376"/>
      <c r="P166" s="377"/>
      <c r="Q166" s="79"/>
      <c r="R166" s="80"/>
      <c r="S166" s="249"/>
      <c r="T166" s="250"/>
      <c r="U166" s="249"/>
      <c r="V166" s="250"/>
      <c r="X166" s="390">
        <f t="shared" si="39"/>
        <v>629.25</v>
      </c>
      <c r="Y166" s="81">
        <f t="shared" si="37"/>
        <v>1</v>
      </c>
      <c r="AA166" s="400"/>
      <c r="AB166" s="396"/>
      <c r="AC166" s="396">
        <v>629.25</v>
      </c>
      <c r="AD166" s="396"/>
      <c r="AE166" s="401"/>
    </row>
    <row r="167" spans="1:33" ht="12.75" customHeight="1" thickBot="1">
      <c r="A167" s="77"/>
      <c r="B167" s="256" t="s">
        <v>22</v>
      </c>
      <c r="C167" s="241"/>
      <c r="D167" s="254" t="s">
        <v>130</v>
      </c>
      <c r="E167" s="233" t="s">
        <v>176</v>
      </c>
      <c r="F167" s="233"/>
      <c r="G167" s="233"/>
      <c r="H167" s="284" t="s">
        <v>9</v>
      </c>
      <c r="I167" s="234">
        <v>8</v>
      </c>
      <c r="J167" s="235">
        <f t="shared" si="43"/>
        <v>1</v>
      </c>
      <c r="K167" s="236">
        <f t="shared" si="35"/>
        <v>0</v>
      </c>
      <c r="L167" s="237">
        <f t="shared" si="36"/>
        <v>0</v>
      </c>
      <c r="M167" s="375">
        <v>432.14</v>
      </c>
      <c r="N167" s="376"/>
      <c r="O167" s="376"/>
      <c r="P167" s="377"/>
      <c r="Q167" s="79"/>
      <c r="R167" s="80"/>
      <c r="S167" s="249"/>
      <c r="T167" s="250"/>
      <c r="U167" s="249"/>
      <c r="V167" s="250"/>
      <c r="X167" s="390">
        <f t="shared" si="39"/>
        <v>8</v>
      </c>
      <c r="Y167" s="81">
        <f t="shared" si="37"/>
        <v>1</v>
      </c>
      <c r="AA167" s="402"/>
      <c r="AB167" s="403"/>
      <c r="AC167" s="403">
        <v>8</v>
      </c>
      <c r="AD167" s="403"/>
      <c r="AE167" s="404"/>
    </row>
    <row r="168" spans="1:33" ht="12.75" customHeight="1" thickBot="1">
      <c r="A168" s="77"/>
      <c r="B168" s="256" t="s">
        <v>22</v>
      </c>
      <c r="C168" s="241">
        <v>7</v>
      </c>
      <c r="D168" s="254"/>
      <c r="E168" s="365" t="s">
        <v>10</v>
      </c>
      <c r="F168" s="233"/>
      <c r="G168" s="233"/>
      <c r="H168" s="284" t="s">
        <v>207</v>
      </c>
      <c r="I168" s="234"/>
      <c r="J168" s="235"/>
      <c r="K168" s="236">
        <f t="shared" si="35"/>
        <v>0</v>
      </c>
      <c r="L168" s="237">
        <f t="shared" si="36"/>
        <v>0</v>
      </c>
      <c r="M168" s="375"/>
      <c r="N168" s="376"/>
      <c r="O168" s="376"/>
      <c r="P168" s="377"/>
      <c r="Q168" s="79"/>
      <c r="R168" s="80"/>
      <c r="S168" s="249"/>
      <c r="T168" s="250"/>
      <c r="U168" s="249"/>
      <c r="V168" s="250"/>
      <c r="X168" s="390"/>
      <c r="Y168" s="81">
        <f t="shared" si="37"/>
        <v>0</v>
      </c>
      <c r="AA168" s="394"/>
      <c r="AB168" s="394"/>
      <c r="AC168" s="394"/>
      <c r="AD168" s="394"/>
      <c r="AE168" s="394"/>
    </row>
    <row r="169" spans="1:33" ht="12.75" customHeight="1">
      <c r="A169" s="77"/>
      <c r="B169" s="256" t="s">
        <v>22</v>
      </c>
      <c r="C169" s="241"/>
      <c r="D169" s="254">
        <v>822000</v>
      </c>
      <c r="E169" s="233" t="s">
        <v>177</v>
      </c>
      <c r="F169" s="233"/>
      <c r="G169" s="233"/>
      <c r="H169" s="284" t="s">
        <v>11</v>
      </c>
      <c r="I169" s="234">
        <v>71.510000000000005</v>
      </c>
      <c r="J169" s="235">
        <f t="shared" ref="J169:J172" si="44">Y169</f>
        <v>1</v>
      </c>
      <c r="K169" s="236">
        <f t="shared" si="35"/>
        <v>0</v>
      </c>
      <c r="L169" s="237">
        <f t="shared" si="36"/>
        <v>0</v>
      </c>
      <c r="M169" s="375">
        <v>28.76</v>
      </c>
      <c r="N169" s="376"/>
      <c r="O169" s="376"/>
      <c r="P169" s="377"/>
      <c r="Q169" s="79"/>
      <c r="R169" s="80"/>
      <c r="S169" s="249"/>
      <c r="T169" s="250"/>
      <c r="U169" s="249"/>
      <c r="V169" s="250"/>
      <c r="X169" s="390">
        <f t="shared" si="39"/>
        <v>71.510000000000005</v>
      </c>
      <c r="Y169" s="81">
        <f t="shared" si="37"/>
        <v>1</v>
      </c>
      <c r="AA169" s="397"/>
      <c r="AB169" s="398"/>
      <c r="AC169" s="398">
        <v>71.510000000000005</v>
      </c>
      <c r="AD169" s="398"/>
      <c r="AE169" s="399"/>
    </row>
    <row r="170" spans="1:33" ht="12.75" customHeight="1">
      <c r="A170" s="77"/>
      <c r="B170" s="256" t="s">
        <v>22</v>
      </c>
      <c r="C170" s="241"/>
      <c r="D170" s="254" t="s">
        <v>131</v>
      </c>
      <c r="E170" s="233" t="s">
        <v>178</v>
      </c>
      <c r="F170" s="233"/>
      <c r="G170" s="233"/>
      <c r="H170" s="284" t="s">
        <v>9</v>
      </c>
      <c r="I170" s="234">
        <v>4</v>
      </c>
      <c r="J170" s="235">
        <f t="shared" si="44"/>
        <v>1</v>
      </c>
      <c r="K170" s="236">
        <f t="shared" si="35"/>
        <v>0</v>
      </c>
      <c r="L170" s="237">
        <f t="shared" si="36"/>
        <v>0</v>
      </c>
      <c r="M170" s="375">
        <v>515.63</v>
      </c>
      <c r="N170" s="376"/>
      <c r="O170" s="376"/>
      <c r="P170" s="377"/>
      <c r="Q170" s="79"/>
      <c r="R170" s="80"/>
      <c r="S170" s="249"/>
      <c r="T170" s="250"/>
      <c r="U170" s="249"/>
      <c r="V170" s="250"/>
      <c r="X170" s="390">
        <f t="shared" si="39"/>
        <v>4</v>
      </c>
      <c r="Y170" s="81">
        <f t="shared" si="37"/>
        <v>1</v>
      </c>
      <c r="AA170" s="400"/>
      <c r="AB170" s="396"/>
      <c r="AC170" s="396">
        <v>4</v>
      </c>
      <c r="AD170" s="396"/>
      <c r="AE170" s="401"/>
    </row>
    <row r="171" spans="1:33" ht="12.75" customHeight="1">
      <c r="A171" s="77"/>
      <c r="B171" s="256" t="s">
        <v>22</v>
      </c>
      <c r="C171" s="241"/>
      <c r="D171" s="254" t="s">
        <v>132</v>
      </c>
      <c r="E171" s="233" t="s">
        <v>179</v>
      </c>
      <c r="F171" s="233"/>
      <c r="G171" s="233"/>
      <c r="H171" s="284" t="s">
        <v>9</v>
      </c>
      <c r="I171" s="234">
        <v>1</v>
      </c>
      <c r="J171" s="235">
        <f t="shared" si="44"/>
        <v>1</v>
      </c>
      <c r="K171" s="236">
        <f t="shared" si="35"/>
        <v>0</v>
      </c>
      <c r="L171" s="237">
        <f t="shared" si="36"/>
        <v>0</v>
      </c>
      <c r="M171" s="375">
        <v>528</v>
      </c>
      <c r="N171" s="376"/>
      <c r="O171" s="376"/>
      <c r="P171" s="377"/>
      <c r="Q171" s="79"/>
      <c r="R171" s="80"/>
      <c r="S171" s="249"/>
      <c r="T171" s="250"/>
      <c r="U171" s="249"/>
      <c r="V171" s="250"/>
      <c r="X171" s="390">
        <f t="shared" si="39"/>
        <v>1</v>
      </c>
      <c r="Y171" s="81">
        <f t="shared" si="37"/>
        <v>1</v>
      </c>
      <c r="AA171" s="400"/>
      <c r="AB171" s="396"/>
      <c r="AC171" s="396">
        <v>1</v>
      </c>
      <c r="AD171" s="396"/>
      <c r="AE171" s="401"/>
    </row>
    <row r="172" spans="1:33" ht="12.75" customHeight="1" thickBot="1">
      <c r="A172" s="77"/>
      <c r="B172" s="256" t="s">
        <v>22</v>
      </c>
      <c r="C172" s="241"/>
      <c r="D172" s="254" t="s">
        <v>133</v>
      </c>
      <c r="E172" s="233" t="s">
        <v>180</v>
      </c>
      <c r="F172" s="233"/>
      <c r="G172" s="233"/>
      <c r="H172" s="284" t="s">
        <v>9</v>
      </c>
      <c r="I172" s="234">
        <v>2</v>
      </c>
      <c r="J172" s="235">
        <f t="shared" si="44"/>
        <v>1</v>
      </c>
      <c r="K172" s="236">
        <f t="shared" si="35"/>
        <v>0</v>
      </c>
      <c r="L172" s="237">
        <f t="shared" si="36"/>
        <v>0</v>
      </c>
      <c r="M172" s="375">
        <v>533.33000000000004</v>
      </c>
      <c r="N172" s="376"/>
      <c r="O172" s="376"/>
      <c r="P172" s="377"/>
      <c r="Q172" s="79"/>
      <c r="R172" s="80"/>
      <c r="S172" s="249"/>
      <c r="T172" s="250"/>
      <c r="U172" s="249"/>
      <c r="V172" s="250"/>
      <c r="X172" s="390">
        <f t="shared" si="39"/>
        <v>2</v>
      </c>
      <c r="Y172" s="81">
        <f t="shared" si="37"/>
        <v>1</v>
      </c>
      <c r="AA172" s="402"/>
      <c r="AB172" s="403"/>
      <c r="AC172" s="403">
        <v>2</v>
      </c>
      <c r="AD172" s="403"/>
      <c r="AE172" s="404"/>
    </row>
    <row r="173" spans="1:33" ht="12.75" customHeight="1" thickBot="1">
      <c r="A173" s="77"/>
      <c r="B173" s="256" t="s">
        <v>22</v>
      </c>
      <c r="C173" s="241">
        <v>8</v>
      </c>
      <c r="D173" s="254"/>
      <c r="E173" s="365" t="s">
        <v>21</v>
      </c>
      <c r="F173" s="233"/>
      <c r="G173" s="233"/>
      <c r="H173" s="284" t="s">
        <v>207</v>
      </c>
      <c r="I173" s="234"/>
      <c r="J173" s="235"/>
      <c r="K173" s="236">
        <f t="shared" si="35"/>
        <v>0</v>
      </c>
      <c r="L173" s="237">
        <f t="shared" si="36"/>
        <v>0</v>
      </c>
      <c r="M173" s="375"/>
      <c r="N173" s="376"/>
      <c r="O173" s="376"/>
      <c r="P173" s="377"/>
      <c r="Q173" s="79"/>
      <c r="R173" s="80"/>
      <c r="S173" s="249"/>
      <c r="T173" s="250"/>
      <c r="U173" s="249"/>
      <c r="V173" s="250"/>
      <c r="X173" s="390"/>
      <c r="Y173" s="81">
        <f t="shared" si="37"/>
        <v>0</v>
      </c>
      <c r="AA173" s="394"/>
      <c r="AB173" s="394"/>
      <c r="AC173" s="394"/>
      <c r="AD173" s="394"/>
      <c r="AE173" s="394"/>
    </row>
    <row r="174" spans="1:33" ht="12.75" customHeight="1">
      <c r="A174" s="77"/>
      <c r="B174" s="256" t="s">
        <v>22</v>
      </c>
      <c r="C174" s="241"/>
      <c r="D174" s="254">
        <v>600300</v>
      </c>
      <c r="E174" s="233" t="s">
        <v>181</v>
      </c>
      <c r="F174" s="233"/>
      <c r="G174" s="233"/>
      <c r="H174" s="284" t="s">
        <v>12</v>
      </c>
      <c r="I174" s="234">
        <v>894.13</v>
      </c>
      <c r="J174" s="235">
        <f t="shared" ref="J174:J190" si="45">Y174</f>
        <v>1</v>
      </c>
      <c r="K174" s="236">
        <f t="shared" si="35"/>
        <v>0</v>
      </c>
      <c r="L174" s="237">
        <f t="shared" si="36"/>
        <v>0</v>
      </c>
      <c r="M174" s="375">
        <v>4.1399999999999997</v>
      </c>
      <c r="N174" s="376"/>
      <c r="O174" s="376"/>
      <c r="P174" s="377"/>
      <c r="Q174" s="79"/>
      <c r="R174" s="369" t="s">
        <v>213</v>
      </c>
      <c r="S174" s="249"/>
      <c r="T174" s="250"/>
      <c r="U174" s="249"/>
      <c r="V174" s="250"/>
      <c r="X174" s="390">
        <f t="shared" si="39"/>
        <v>894.13</v>
      </c>
      <c r="Y174" s="81">
        <f t="shared" si="37"/>
        <v>1</v>
      </c>
      <c r="AA174" s="397"/>
      <c r="AB174" s="398">
        <v>800</v>
      </c>
      <c r="AC174" s="398">
        <v>94.13</v>
      </c>
      <c r="AD174" s="398"/>
      <c r="AE174" s="399"/>
    </row>
    <row r="175" spans="1:33" ht="12.75" customHeight="1">
      <c r="A175" s="77"/>
      <c r="B175" s="256" t="s">
        <v>22</v>
      </c>
      <c r="C175" s="241"/>
      <c r="D175" s="254">
        <v>601200</v>
      </c>
      <c r="E175" s="233" t="s">
        <v>182</v>
      </c>
      <c r="F175" s="233"/>
      <c r="G175" s="233"/>
      <c r="H175" s="284" t="s">
        <v>12</v>
      </c>
      <c r="I175" s="234">
        <v>188.34</v>
      </c>
      <c r="J175" s="235">
        <f t="shared" si="45"/>
        <v>1</v>
      </c>
      <c r="K175" s="236">
        <f t="shared" si="35"/>
        <v>0</v>
      </c>
      <c r="L175" s="237">
        <f t="shared" si="36"/>
        <v>0</v>
      </c>
      <c r="M175" s="375">
        <v>17.93</v>
      </c>
      <c r="N175" s="376"/>
      <c r="O175" s="376"/>
      <c r="P175" s="377"/>
      <c r="Q175" s="79"/>
      <c r="R175" s="368"/>
      <c r="S175" s="249"/>
      <c r="T175" s="250"/>
      <c r="U175" s="249"/>
      <c r="V175" s="250"/>
      <c r="X175" s="390">
        <f t="shared" si="39"/>
        <v>188.34</v>
      </c>
      <c r="Y175" s="81">
        <f t="shared" si="37"/>
        <v>1</v>
      </c>
      <c r="AA175" s="400"/>
      <c r="AB175" s="396">
        <v>165</v>
      </c>
      <c r="AC175" s="396">
        <v>23.34</v>
      </c>
      <c r="AD175" s="396"/>
      <c r="AE175" s="401"/>
    </row>
    <row r="176" spans="1:33" ht="12.75" customHeight="1">
      <c r="A176" s="77"/>
      <c r="B176" s="256" t="s">
        <v>22</v>
      </c>
      <c r="C176" s="241"/>
      <c r="D176" s="254">
        <v>620000</v>
      </c>
      <c r="E176" s="233" t="s">
        <v>183</v>
      </c>
      <c r="F176" s="233"/>
      <c r="G176" s="233"/>
      <c r="H176" s="284" t="s">
        <v>9</v>
      </c>
      <c r="I176" s="234">
        <v>1</v>
      </c>
      <c r="J176" s="235">
        <f t="shared" si="45"/>
        <v>1</v>
      </c>
      <c r="K176" s="236">
        <f t="shared" si="35"/>
        <v>0</v>
      </c>
      <c r="L176" s="237">
        <f t="shared" si="36"/>
        <v>0</v>
      </c>
      <c r="M176" s="375">
        <v>900</v>
      </c>
      <c r="N176" s="376"/>
      <c r="O176" s="376"/>
      <c r="P176" s="377"/>
      <c r="Q176" s="79"/>
      <c r="R176" s="80"/>
      <c r="S176" s="249"/>
      <c r="T176" s="250"/>
      <c r="U176" s="249"/>
      <c r="V176" s="250"/>
      <c r="X176" s="390">
        <f t="shared" si="39"/>
        <v>1</v>
      </c>
      <c r="Y176" s="81">
        <f t="shared" si="37"/>
        <v>1</v>
      </c>
      <c r="AA176" s="400"/>
      <c r="AB176" s="396">
        <v>1</v>
      </c>
      <c r="AC176" s="396"/>
      <c r="AD176" s="396"/>
      <c r="AE176" s="401"/>
    </row>
    <row r="177" spans="1:31" ht="12.75" customHeight="1">
      <c r="A177" s="77"/>
      <c r="B177" s="256" t="s">
        <v>22</v>
      </c>
      <c r="C177" s="241"/>
      <c r="D177" s="254">
        <v>620100</v>
      </c>
      <c r="E177" s="233" t="s">
        <v>184</v>
      </c>
      <c r="F177" s="233"/>
      <c r="G177" s="233"/>
      <c r="H177" s="284" t="s">
        <v>9</v>
      </c>
      <c r="I177" s="234"/>
      <c r="J177" s="235">
        <f t="shared" si="45"/>
        <v>0</v>
      </c>
      <c r="K177" s="236">
        <f t="shared" si="35"/>
        <v>0</v>
      </c>
      <c r="L177" s="237">
        <f t="shared" si="36"/>
        <v>0</v>
      </c>
      <c r="M177" s="375">
        <v>1410</v>
      </c>
      <c r="N177" s="376"/>
      <c r="O177" s="376"/>
      <c r="P177" s="377"/>
      <c r="Q177" s="79"/>
      <c r="R177" s="80"/>
      <c r="S177" s="249"/>
      <c r="T177" s="250"/>
      <c r="U177" s="249"/>
      <c r="V177" s="250"/>
      <c r="X177" s="390">
        <f t="shared" si="39"/>
        <v>0</v>
      </c>
      <c r="Y177" s="81">
        <f t="shared" si="37"/>
        <v>0</v>
      </c>
      <c r="AA177" s="400"/>
      <c r="AB177" s="396"/>
      <c r="AC177" s="396"/>
      <c r="AD177" s="396"/>
      <c r="AE177" s="401"/>
    </row>
    <row r="178" spans="1:31" ht="12.75" customHeight="1">
      <c r="A178" s="77"/>
      <c r="B178" s="256" t="s">
        <v>22</v>
      </c>
      <c r="C178" s="241"/>
      <c r="D178" s="254" t="s">
        <v>134</v>
      </c>
      <c r="E178" s="233" t="s">
        <v>185</v>
      </c>
      <c r="F178" s="233"/>
      <c r="G178" s="233"/>
      <c r="H178" s="284" t="s">
        <v>13</v>
      </c>
      <c r="I178" s="234">
        <v>184</v>
      </c>
      <c r="J178" s="235">
        <f t="shared" si="45"/>
        <v>1</v>
      </c>
      <c r="K178" s="236">
        <f t="shared" si="35"/>
        <v>0</v>
      </c>
      <c r="L178" s="237">
        <f t="shared" si="36"/>
        <v>0</v>
      </c>
      <c r="M178" s="375">
        <v>53.45</v>
      </c>
      <c r="N178" s="376"/>
      <c r="O178" s="376"/>
      <c r="P178" s="377"/>
      <c r="Q178" s="79"/>
      <c r="R178" s="80"/>
      <c r="S178" s="249"/>
      <c r="T178" s="250"/>
      <c r="U178" s="249"/>
      <c r="V178" s="250"/>
      <c r="X178" s="390">
        <f t="shared" si="39"/>
        <v>184</v>
      </c>
      <c r="Y178" s="81">
        <f t="shared" si="37"/>
        <v>1</v>
      </c>
      <c r="AA178" s="400"/>
      <c r="AB178" s="396">
        <v>184</v>
      </c>
      <c r="AC178" s="396"/>
      <c r="AD178" s="396"/>
      <c r="AE178" s="401"/>
    </row>
    <row r="179" spans="1:31" ht="12.75" customHeight="1">
      <c r="A179" s="77"/>
      <c r="B179" s="256" t="s">
        <v>22</v>
      </c>
      <c r="C179" s="241"/>
      <c r="D179" s="254" t="s">
        <v>135</v>
      </c>
      <c r="E179" s="233" t="s">
        <v>186</v>
      </c>
      <c r="F179" s="233"/>
      <c r="G179" s="233"/>
      <c r="H179" s="284" t="s">
        <v>13</v>
      </c>
      <c r="I179" s="234"/>
      <c r="J179" s="235">
        <f t="shared" si="45"/>
        <v>0</v>
      </c>
      <c r="K179" s="236">
        <f t="shared" si="35"/>
        <v>0</v>
      </c>
      <c r="L179" s="237">
        <f t="shared" si="36"/>
        <v>0</v>
      </c>
      <c r="M179" s="375">
        <v>104.76</v>
      </c>
      <c r="N179" s="376"/>
      <c r="O179" s="376"/>
      <c r="P179" s="377"/>
      <c r="Q179" s="79"/>
      <c r="R179" s="80"/>
      <c r="S179" s="249"/>
      <c r="T179" s="250"/>
      <c r="U179" s="249"/>
      <c r="V179" s="250"/>
      <c r="X179" s="390">
        <f t="shared" si="39"/>
        <v>0</v>
      </c>
      <c r="Y179" s="81">
        <f t="shared" si="37"/>
        <v>0</v>
      </c>
      <c r="AA179" s="400"/>
      <c r="AB179" s="396"/>
      <c r="AC179" s="396"/>
      <c r="AD179" s="396"/>
      <c r="AE179" s="401"/>
    </row>
    <row r="180" spans="1:31" ht="12.75" customHeight="1">
      <c r="A180" s="77"/>
      <c r="B180" s="256" t="s">
        <v>22</v>
      </c>
      <c r="C180" s="241"/>
      <c r="D180" s="254" t="s">
        <v>136</v>
      </c>
      <c r="E180" s="233" t="s">
        <v>187</v>
      </c>
      <c r="F180" s="233"/>
      <c r="G180" s="233"/>
      <c r="H180" s="284" t="s">
        <v>13</v>
      </c>
      <c r="I180" s="234">
        <v>62</v>
      </c>
      <c r="J180" s="235">
        <f t="shared" si="45"/>
        <v>1</v>
      </c>
      <c r="K180" s="236">
        <f t="shared" si="35"/>
        <v>0</v>
      </c>
      <c r="L180" s="237">
        <f t="shared" si="36"/>
        <v>0</v>
      </c>
      <c r="M180" s="375">
        <v>110.43</v>
      </c>
      <c r="N180" s="376"/>
      <c r="O180" s="376"/>
      <c r="P180" s="377"/>
      <c r="Q180" s="79"/>
      <c r="R180" s="80"/>
      <c r="S180" s="249"/>
      <c r="T180" s="250"/>
      <c r="U180" s="249"/>
      <c r="V180" s="250"/>
      <c r="X180" s="390">
        <f t="shared" si="39"/>
        <v>62</v>
      </c>
      <c r="Y180" s="81">
        <f t="shared" si="37"/>
        <v>1</v>
      </c>
      <c r="AA180" s="400"/>
      <c r="AB180" s="396">
        <v>62</v>
      </c>
      <c r="AC180" s="396"/>
      <c r="AD180" s="396"/>
      <c r="AE180" s="401"/>
    </row>
    <row r="181" spans="1:31" ht="12.75" customHeight="1">
      <c r="A181" s="77"/>
      <c r="B181" s="256" t="s">
        <v>22</v>
      </c>
      <c r="C181" s="241"/>
      <c r="D181" s="254" t="s">
        <v>137</v>
      </c>
      <c r="E181" s="233" t="s">
        <v>188</v>
      </c>
      <c r="F181" s="233"/>
      <c r="G181" s="233"/>
      <c r="H181" s="284" t="s">
        <v>13</v>
      </c>
      <c r="I181" s="234">
        <v>169</v>
      </c>
      <c r="J181" s="235">
        <f t="shared" si="45"/>
        <v>1</v>
      </c>
      <c r="K181" s="236">
        <f t="shared" si="35"/>
        <v>0</v>
      </c>
      <c r="L181" s="237">
        <f t="shared" si="36"/>
        <v>0</v>
      </c>
      <c r="M181" s="375">
        <v>181.82</v>
      </c>
      <c r="N181" s="376"/>
      <c r="O181" s="376"/>
      <c r="P181" s="377"/>
      <c r="Q181" s="79"/>
      <c r="R181" s="80"/>
      <c r="S181" s="249"/>
      <c r="T181" s="250"/>
      <c r="U181" s="249"/>
      <c r="V181" s="250"/>
      <c r="X181" s="390">
        <f t="shared" si="39"/>
        <v>169</v>
      </c>
      <c r="Y181" s="81">
        <f t="shared" si="37"/>
        <v>1</v>
      </c>
      <c r="AA181" s="400"/>
      <c r="AB181" s="396">
        <v>169</v>
      </c>
      <c r="AC181" s="396"/>
      <c r="AD181" s="396"/>
      <c r="AE181" s="401"/>
    </row>
    <row r="182" spans="1:31" ht="12.75" customHeight="1">
      <c r="A182" s="77"/>
      <c r="B182" s="256" t="s">
        <v>22</v>
      </c>
      <c r="C182" s="241"/>
      <c r="D182" s="254" t="s">
        <v>138</v>
      </c>
      <c r="E182" s="233" t="s">
        <v>189</v>
      </c>
      <c r="F182" s="233"/>
      <c r="G182" s="233"/>
      <c r="H182" s="284" t="s">
        <v>9</v>
      </c>
      <c r="I182" s="234">
        <v>14</v>
      </c>
      <c r="J182" s="235">
        <f t="shared" si="45"/>
        <v>1</v>
      </c>
      <c r="K182" s="236">
        <f t="shared" si="35"/>
        <v>0</v>
      </c>
      <c r="L182" s="237">
        <f t="shared" si="36"/>
        <v>0</v>
      </c>
      <c r="M182" s="375">
        <v>940.48</v>
      </c>
      <c r="N182" s="376"/>
      <c r="O182" s="376"/>
      <c r="P182" s="377"/>
      <c r="Q182" s="79"/>
      <c r="R182" s="80"/>
      <c r="S182" s="249"/>
      <c r="T182" s="250"/>
      <c r="U182" s="249"/>
      <c r="V182" s="250"/>
      <c r="X182" s="390">
        <f t="shared" si="39"/>
        <v>14</v>
      </c>
      <c r="Y182" s="81">
        <f t="shared" si="37"/>
        <v>1</v>
      </c>
      <c r="AA182" s="400"/>
      <c r="AB182" s="396">
        <v>5</v>
      </c>
      <c r="AC182" s="396">
        <v>9</v>
      </c>
      <c r="AD182" s="396"/>
      <c r="AE182" s="401"/>
    </row>
    <row r="183" spans="1:31" ht="12.75" customHeight="1">
      <c r="A183" s="77"/>
      <c r="B183" s="256" t="s">
        <v>22</v>
      </c>
      <c r="C183" s="241"/>
      <c r="D183" s="254" t="s">
        <v>139</v>
      </c>
      <c r="E183" s="233" t="s">
        <v>190</v>
      </c>
      <c r="F183" s="233"/>
      <c r="G183" s="233"/>
      <c r="H183" s="284" t="s">
        <v>9</v>
      </c>
      <c r="I183" s="234"/>
      <c r="J183" s="235">
        <f t="shared" si="45"/>
        <v>0</v>
      </c>
      <c r="K183" s="236">
        <f t="shared" si="35"/>
        <v>0</v>
      </c>
      <c r="L183" s="237">
        <f t="shared" si="36"/>
        <v>0</v>
      </c>
      <c r="M183" s="375">
        <v>1975</v>
      </c>
      <c r="N183" s="376"/>
      <c r="O183" s="376"/>
      <c r="P183" s="377"/>
      <c r="Q183" s="79"/>
      <c r="R183" s="80"/>
      <c r="S183" s="249"/>
      <c r="T183" s="250"/>
      <c r="U183" s="249"/>
      <c r="V183" s="250"/>
      <c r="X183" s="390">
        <f t="shared" si="39"/>
        <v>0</v>
      </c>
      <c r="Y183" s="81">
        <f t="shared" si="37"/>
        <v>0</v>
      </c>
      <c r="AA183" s="400"/>
      <c r="AB183" s="396"/>
      <c r="AC183" s="396"/>
      <c r="AD183" s="396"/>
      <c r="AE183" s="401"/>
    </row>
    <row r="184" spans="1:31" ht="12.75" customHeight="1">
      <c r="A184" s="77"/>
      <c r="B184" s="256" t="s">
        <v>22</v>
      </c>
      <c r="C184" s="241"/>
      <c r="D184" s="254" t="s">
        <v>140</v>
      </c>
      <c r="E184" s="233" t="s">
        <v>191</v>
      </c>
      <c r="F184" s="233"/>
      <c r="G184" s="233"/>
      <c r="H184" s="284" t="s">
        <v>9</v>
      </c>
      <c r="I184" s="234">
        <v>4</v>
      </c>
      <c r="J184" s="235">
        <f t="shared" si="45"/>
        <v>1</v>
      </c>
      <c r="K184" s="236">
        <f t="shared" si="35"/>
        <v>0</v>
      </c>
      <c r="L184" s="237">
        <f t="shared" si="36"/>
        <v>0</v>
      </c>
      <c r="M184" s="375">
        <v>530</v>
      </c>
      <c r="N184" s="376"/>
      <c r="O184" s="376"/>
      <c r="P184" s="377"/>
      <c r="Q184" s="79"/>
      <c r="R184" s="80"/>
      <c r="S184" s="249"/>
      <c r="T184" s="250"/>
      <c r="U184" s="249"/>
      <c r="V184" s="250"/>
      <c r="X184" s="390">
        <f t="shared" si="39"/>
        <v>4</v>
      </c>
      <c r="Y184" s="81">
        <f t="shared" si="37"/>
        <v>1</v>
      </c>
      <c r="AA184" s="400"/>
      <c r="AB184" s="396"/>
      <c r="AC184" s="396">
        <v>4</v>
      </c>
      <c r="AD184" s="396"/>
      <c r="AE184" s="401"/>
    </row>
    <row r="185" spans="1:31" ht="12.75" customHeight="1">
      <c r="A185" s="77"/>
      <c r="B185" s="256" t="s">
        <v>22</v>
      </c>
      <c r="C185" s="241"/>
      <c r="D185" s="254" t="s">
        <v>141</v>
      </c>
      <c r="E185" s="233" t="s">
        <v>192</v>
      </c>
      <c r="F185" s="233"/>
      <c r="G185" s="233"/>
      <c r="H185" s="284" t="s">
        <v>9</v>
      </c>
      <c r="I185" s="234">
        <v>1</v>
      </c>
      <c r="J185" s="235">
        <f t="shared" si="45"/>
        <v>1</v>
      </c>
      <c r="K185" s="236">
        <f t="shared" si="35"/>
        <v>0</v>
      </c>
      <c r="L185" s="237">
        <f t="shared" si="36"/>
        <v>0</v>
      </c>
      <c r="M185" s="375">
        <v>816.67</v>
      </c>
      <c r="N185" s="376"/>
      <c r="O185" s="376"/>
      <c r="P185" s="377"/>
      <c r="Q185" s="79"/>
      <c r="R185" s="80"/>
      <c r="S185" s="249"/>
      <c r="T185" s="250"/>
      <c r="U185" s="249"/>
      <c r="V185" s="250"/>
      <c r="X185" s="390">
        <f t="shared" si="39"/>
        <v>1</v>
      </c>
      <c r="Y185" s="81">
        <f t="shared" si="37"/>
        <v>1</v>
      </c>
      <c r="AA185" s="400"/>
      <c r="AB185" s="396">
        <v>1</v>
      </c>
      <c r="AC185" s="396"/>
      <c r="AD185" s="396"/>
      <c r="AE185" s="401"/>
    </row>
    <row r="186" spans="1:31" ht="12.75" customHeight="1">
      <c r="A186" s="77"/>
      <c r="B186" s="256" t="s">
        <v>22</v>
      </c>
      <c r="C186" s="241"/>
      <c r="D186" s="254" t="s">
        <v>142</v>
      </c>
      <c r="E186" s="233" t="s">
        <v>193</v>
      </c>
      <c r="F186" s="233"/>
      <c r="G186" s="233"/>
      <c r="H186" s="284" t="s">
        <v>9</v>
      </c>
      <c r="I186" s="234">
        <v>4</v>
      </c>
      <c r="J186" s="235">
        <f t="shared" si="45"/>
        <v>1</v>
      </c>
      <c r="K186" s="236">
        <f t="shared" si="35"/>
        <v>0</v>
      </c>
      <c r="L186" s="237">
        <f t="shared" si="36"/>
        <v>0</v>
      </c>
      <c r="M186" s="375">
        <v>1628</v>
      </c>
      <c r="N186" s="376"/>
      <c r="O186" s="376"/>
      <c r="P186" s="377"/>
      <c r="Q186" s="79"/>
      <c r="R186" s="80"/>
      <c r="S186" s="249"/>
      <c r="T186" s="250"/>
      <c r="U186" s="249"/>
      <c r="V186" s="250"/>
      <c r="X186" s="390">
        <f t="shared" si="39"/>
        <v>4</v>
      </c>
      <c r="Y186" s="81">
        <f t="shared" si="37"/>
        <v>1</v>
      </c>
      <c r="AA186" s="400"/>
      <c r="AB186" s="396"/>
      <c r="AC186" s="396">
        <v>4</v>
      </c>
      <c r="AD186" s="396"/>
      <c r="AE186" s="401"/>
    </row>
    <row r="187" spans="1:31" ht="12.75" customHeight="1">
      <c r="A187" s="77"/>
      <c r="B187" s="256" t="s">
        <v>22</v>
      </c>
      <c r="C187" s="241"/>
      <c r="D187" s="254" t="s">
        <v>143</v>
      </c>
      <c r="E187" s="233" t="s">
        <v>194</v>
      </c>
      <c r="F187" s="233"/>
      <c r="G187" s="233"/>
      <c r="H187" s="284" t="s">
        <v>9</v>
      </c>
      <c r="I187" s="234">
        <v>4</v>
      </c>
      <c r="J187" s="235">
        <f t="shared" si="45"/>
        <v>1</v>
      </c>
      <c r="K187" s="236">
        <f t="shared" si="35"/>
        <v>0</v>
      </c>
      <c r="L187" s="237">
        <f t="shared" si="36"/>
        <v>0</v>
      </c>
      <c r="M187" s="375">
        <v>1800</v>
      </c>
      <c r="N187" s="376"/>
      <c r="O187" s="376"/>
      <c r="P187" s="377"/>
      <c r="Q187" s="79"/>
      <c r="R187" s="80"/>
      <c r="S187" s="249"/>
      <c r="T187" s="250"/>
      <c r="U187" s="249"/>
      <c r="V187" s="250"/>
      <c r="X187" s="390">
        <f t="shared" si="39"/>
        <v>4</v>
      </c>
      <c r="Y187" s="81">
        <f t="shared" si="37"/>
        <v>1</v>
      </c>
      <c r="AA187" s="400"/>
      <c r="AB187" s="396"/>
      <c r="AC187" s="396">
        <v>4</v>
      </c>
      <c r="AD187" s="396"/>
      <c r="AE187" s="401"/>
    </row>
    <row r="188" spans="1:31" ht="12.75" customHeight="1">
      <c r="A188" s="77"/>
      <c r="B188" s="256" t="s">
        <v>22</v>
      </c>
      <c r="C188" s="241"/>
      <c r="D188" s="254" t="s">
        <v>144</v>
      </c>
      <c r="E188" s="233" t="s">
        <v>195</v>
      </c>
      <c r="F188" s="233"/>
      <c r="G188" s="233"/>
      <c r="H188" s="284" t="s">
        <v>9</v>
      </c>
      <c r="I188" s="234">
        <v>1</v>
      </c>
      <c r="J188" s="235">
        <f t="shared" si="45"/>
        <v>1</v>
      </c>
      <c r="K188" s="236">
        <f t="shared" si="35"/>
        <v>0</v>
      </c>
      <c r="L188" s="237">
        <f t="shared" si="36"/>
        <v>0</v>
      </c>
      <c r="M188" s="375">
        <v>1100</v>
      </c>
      <c r="N188" s="376"/>
      <c r="O188" s="376"/>
      <c r="P188" s="377"/>
      <c r="Q188" s="79"/>
      <c r="R188" s="80"/>
      <c r="S188" s="249"/>
      <c r="T188" s="250"/>
      <c r="U188" s="249"/>
      <c r="V188" s="250"/>
      <c r="X188" s="390">
        <f t="shared" si="39"/>
        <v>1</v>
      </c>
      <c r="Y188" s="81">
        <f t="shared" si="37"/>
        <v>1</v>
      </c>
      <c r="AA188" s="400"/>
      <c r="AB188" s="396">
        <v>1</v>
      </c>
      <c r="AC188" s="396"/>
      <c r="AD188" s="396"/>
      <c r="AE188" s="401"/>
    </row>
    <row r="189" spans="1:31" ht="12.75" customHeight="1">
      <c r="A189" s="77"/>
      <c r="B189" s="256" t="s">
        <v>22</v>
      </c>
      <c r="C189" s="241"/>
      <c r="D189" s="254" t="s">
        <v>144</v>
      </c>
      <c r="E189" s="233" t="s">
        <v>196</v>
      </c>
      <c r="F189" s="233"/>
      <c r="G189" s="233"/>
      <c r="H189" s="284" t="s">
        <v>9</v>
      </c>
      <c r="I189" s="234"/>
      <c r="J189" s="235">
        <f t="shared" si="45"/>
        <v>0</v>
      </c>
      <c r="K189" s="236">
        <f t="shared" si="35"/>
        <v>0</v>
      </c>
      <c r="L189" s="237">
        <f t="shared" si="36"/>
        <v>0</v>
      </c>
      <c r="M189" s="375">
        <v>1350</v>
      </c>
      <c r="N189" s="376"/>
      <c r="O189" s="376"/>
      <c r="P189" s="377"/>
      <c r="Q189" s="79"/>
      <c r="R189" s="80"/>
      <c r="S189" s="249"/>
      <c r="T189" s="250"/>
      <c r="U189" s="249"/>
      <c r="V189" s="250"/>
      <c r="X189" s="390">
        <f t="shared" si="39"/>
        <v>0</v>
      </c>
      <c r="Y189" s="81">
        <f t="shared" si="37"/>
        <v>0</v>
      </c>
      <c r="AA189" s="400"/>
      <c r="AB189" s="396"/>
      <c r="AC189" s="396"/>
      <c r="AD189" s="396"/>
      <c r="AE189" s="401"/>
    </row>
    <row r="190" spans="1:31" ht="12.75" customHeight="1" thickBot="1">
      <c r="A190" s="77"/>
      <c r="B190" s="256" t="s">
        <v>22</v>
      </c>
      <c r="C190" s="241"/>
      <c r="D190" s="254" t="s">
        <v>145</v>
      </c>
      <c r="E190" s="233" t="s">
        <v>197</v>
      </c>
      <c r="F190" s="233"/>
      <c r="G190" s="233"/>
      <c r="H190" s="284" t="s">
        <v>12</v>
      </c>
      <c r="I190" s="234">
        <v>481.73</v>
      </c>
      <c r="J190" s="235">
        <f t="shared" si="45"/>
        <v>1</v>
      </c>
      <c r="K190" s="236">
        <f t="shared" si="35"/>
        <v>0</v>
      </c>
      <c r="L190" s="237">
        <f t="shared" si="36"/>
        <v>0</v>
      </c>
      <c r="M190" s="375">
        <v>81.96</v>
      </c>
      <c r="N190" s="376"/>
      <c r="O190" s="376"/>
      <c r="P190" s="377"/>
      <c r="Q190" s="79"/>
      <c r="R190" s="80"/>
      <c r="S190" s="249"/>
      <c r="T190" s="250"/>
      <c r="U190" s="249"/>
      <c r="V190" s="250"/>
      <c r="X190" s="390">
        <f t="shared" si="39"/>
        <v>481.73</v>
      </c>
      <c r="Y190" s="81">
        <f t="shared" si="37"/>
        <v>1</v>
      </c>
      <c r="AA190" s="402"/>
      <c r="AB190" s="403">
        <v>481.73</v>
      </c>
      <c r="AC190" s="403"/>
      <c r="AD190" s="403"/>
      <c r="AE190" s="404"/>
    </row>
    <row r="191" spans="1:31" ht="12.75" customHeight="1" thickBot="1">
      <c r="A191" s="77"/>
      <c r="B191" s="256" t="s">
        <v>22</v>
      </c>
      <c r="C191" s="241">
        <v>9</v>
      </c>
      <c r="D191" s="254"/>
      <c r="E191" s="365" t="s">
        <v>198</v>
      </c>
      <c r="F191" s="233"/>
      <c r="G191" s="233"/>
      <c r="H191" s="284" t="s">
        <v>207</v>
      </c>
      <c r="I191" s="234"/>
      <c r="J191" s="235"/>
      <c r="K191" s="236">
        <f t="shared" si="35"/>
        <v>0</v>
      </c>
      <c r="L191" s="237">
        <f t="shared" si="36"/>
        <v>0</v>
      </c>
      <c r="M191" s="375"/>
      <c r="N191" s="376"/>
      <c r="O191" s="376"/>
      <c r="P191" s="377"/>
      <c r="Q191" s="79"/>
      <c r="R191" s="80"/>
      <c r="S191" s="249"/>
      <c r="T191" s="250"/>
      <c r="U191" s="249"/>
      <c r="V191" s="250"/>
      <c r="X191" s="390"/>
      <c r="Y191" s="81">
        <f t="shared" si="37"/>
        <v>0</v>
      </c>
      <c r="AA191" s="394"/>
      <c r="AB191" s="394"/>
      <c r="AC191" s="394"/>
      <c r="AD191" s="394"/>
      <c r="AE191" s="394"/>
    </row>
    <row r="192" spans="1:31" ht="12.75" customHeight="1">
      <c r="A192" s="77"/>
      <c r="B192" s="256" t="s">
        <v>22</v>
      </c>
      <c r="C192" s="241"/>
      <c r="D192" s="254" t="s">
        <v>146</v>
      </c>
      <c r="E192" s="233" t="s">
        <v>199</v>
      </c>
      <c r="F192" s="233"/>
      <c r="G192" s="233"/>
      <c r="H192" s="284" t="s">
        <v>9</v>
      </c>
      <c r="I192" s="234">
        <v>5</v>
      </c>
      <c r="J192" s="235">
        <f t="shared" ref="J192:J199" si="46">Y192</f>
        <v>1</v>
      </c>
      <c r="K192" s="236">
        <f t="shared" si="35"/>
        <v>0</v>
      </c>
      <c r="L192" s="237">
        <f t="shared" si="36"/>
        <v>0</v>
      </c>
      <c r="M192" s="375">
        <v>139</v>
      </c>
      <c r="N192" s="376"/>
      <c r="O192" s="376"/>
      <c r="P192" s="377"/>
      <c r="Q192" s="79"/>
      <c r="R192" s="368"/>
      <c r="S192" s="249"/>
      <c r="T192" s="250"/>
      <c r="U192" s="249"/>
      <c r="V192" s="250"/>
      <c r="X192" s="390">
        <f t="shared" si="39"/>
        <v>5</v>
      </c>
      <c r="Y192" s="81">
        <f t="shared" si="37"/>
        <v>1</v>
      </c>
      <c r="AA192" s="397"/>
      <c r="AB192" s="398"/>
      <c r="AC192" s="398">
        <v>5</v>
      </c>
      <c r="AD192" s="398"/>
      <c r="AE192" s="399"/>
    </row>
    <row r="193" spans="1:31" ht="12.75" customHeight="1">
      <c r="A193" s="77"/>
      <c r="B193" s="256" t="s">
        <v>22</v>
      </c>
      <c r="C193" s="241"/>
      <c r="D193" s="254" t="s">
        <v>146</v>
      </c>
      <c r="E193" s="233" t="s">
        <v>200</v>
      </c>
      <c r="F193" s="233"/>
      <c r="G193" s="233"/>
      <c r="H193" s="284" t="s">
        <v>9</v>
      </c>
      <c r="I193" s="234">
        <v>10</v>
      </c>
      <c r="J193" s="235">
        <f t="shared" si="46"/>
        <v>1</v>
      </c>
      <c r="K193" s="236">
        <f t="shared" si="35"/>
        <v>0</v>
      </c>
      <c r="L193" s="237">
        <f t="shared" si="36"/>
        <v>0</v>
      </c>
      <c r="M193" s="375">
        <v>139</v>
      </c>
      <c r="N193" s="376"/>
      <c r="O193" s="376"/>
      <c r="P193" s="377"/>
      <c r="Q193" s="79"/>
      <c r="R193" s="368"/>
      <c r="S193" s="249"/>
      <c r="T193" s="250"/>
      <c r="U193" s="249"/>
      <c r="V193" s="250"/>
      <c r="X193" s="390">
        <f t="shared" si="39"/>
        <v>10</v>
      </c>
      <c r="Y193" s="81">
        <f t="shared" si="37"/>
        <v>1</v>
      </c>
      <c r="AA193" s="400"/>
      <c r="AB193" s="396"/>
      <c r="AC193" s="396">
        <v>10</v>
      </c>
      <c r="AD193" s="396"/>
      <c r="AE193" s="401"/>
    </row>
    <row r="194" spans="1:31" ht="12.75" customHeight="1">
      <c r="A194" s="77"/>
      <c r="B194" s="256" t="s">
        <v>22</v>
      </c>
      <c r="C194" s="241"/>
      <c r="D194" s="254" t="s">
        <v>147</v>
      </c>
      <c r="E194" s="233" t="s">
        <v>201</v>
      </c>
      <c r="F194" s="233"/>
      <c r="G194" s="233"/>
      <c r="H194" s="284" t="s">
        <v>9</v>
      </c>
      <c r="I194" s="234">
        <v>5</v>
      </c>
      <c r="J194" s="235">
        <f t="shared" si="46"/>
        <v>1</v>
      </c>
      <c r="K194" s="236">
        <f t="shared" si="35"/>
        <v>0</v>
      </c>
      <c r="L194" s="237">
        <f t="shared" si="36"/>
        <v>0</v>
      </c>
      <c r="M194" s="375">
        <v>140</v>
      </c>
      <c r="N194" s="376"/>
      <c r="O194" s="376"/>
      <c r="P194" s="377"/>
      <c r="Q194" s="79"/>
      <c r="R194" s="368"/>
      <c r="S194" s="249"/>
      <c r="T194" s="250"/>
      <c r="U194" s="249"/>
      <c r="V194" s="250"/>
      <c r="X194" s="390">
        <f t="shared" si="39"/>
        <v>5</v>
      </c>
      <c r="Y194" s="81">
        <f t="shared" si="37"/>
        <v>1</v>
      </c>
      <c r="AA194" s="400"/>
      <c r="AB194" s="396"/>
      <c r="AC194" s="396">
        <v>5</v>
      </c>
      <c r="AD194" s="396"/>
      <c r="AE194" s="401"/>
    </row>
    <row r="195" spans="1:31" ht="12.75" customHeight="1">
      <c r="A195" s="77"/>
      <c r="B195" s="256" t="s">
        <v>22</v>
      </c>
      <c r="C195" s="241"/>
      <c r="D195" s="254" t="s">
        <v>148</v>
      </c>
      <c r="E195" s="233" t="s">
        <v>202</v>
      </c>
      <c r="F195" s="233"/>
      <c r="G195" s="233"/>
      <c r="H195" s="284" t="s">
        <v>9</v>
      </c>
      <c r="I195" s="234">
        <v>5</v>
      </c>
      <c r="J195" s="235">
        <f t="shared" si="46"/>
        <v>1</v>
      </c>
      <c r="K195" s="236">
        <f t="shared" si="35"/>
        <v>0</v>
      </c>
      <c r="L195" s="237">
        <f t="shared" si="36"/>
        <v>0</v>
      </c>
      <c r="M195" s="375">
        <v>170</v>
      </c>
      <c r="N195" s="376"/>
      <c r="O195" s="376"/>
      <c r="P195" s="377"/>
      <c r="Q195" s="79"/>
      <c r="R195" s="368"/>
      <c r="S195" s="249"/>
      <c r="T195" s="250"/>
      <c r="U195" s="249"/>
      <c r="V195" s="250"/>
      <c r="X195" s="390">
        <f t="shared" si="39"/>
        <v>5</v>
      </c>
      <c r="Y195" s="81">
        <f t="shared" si="37"/>
        <v>1</v>
      </c>
      <c r="AA195" s="400"/>
      <c r="AB195" s="396"/>
      <c r="AC195" s="396">
        <v>5</v>
      </c>
      <c r="AD195" s="396"/>
      <c r="AE195" s="401"/>
    </row>
    <row r="196" spans="1:31" ht="12.75" customHeight="1">
      <c r="A196" s="77"/>
      <c r="B196" s="256" t="s">
        <v>22</v>
      </c>
      <c r="C196" s="241"/>
      <c r="D196" s="254" t="s">
        <v>149</v>
      </c>
      <c r="E196" s="233" t="s">
        <v>203</v>
      </c>
      <c r="F196" s="233"/>
      <c r="G196" s="233"/>
      <c r="H196" s="284" t="s">
        <v>9</v>
      </c>
      <c r="I196" s="234">
        <v>5</v>
      </c>
      <c r="J196" s="235">
        <f t="shared" si="46"/>
        <v>1</v>
      </c>
      <c r="K196" s="236">
        <f t="shared" si="35"/>
        <v>0</v>
      </c>
      <c r="L196" s="237">
        <f t="shared" si="36"/>
        <v>0</v>
      </c>
      <c r="M196" s="375">
        <v>100</v>
      </c>
      <c r="N196" s="376"/>
      <c r="O196" s="376"/>
      <c r="P196" s="377"/>
      <c r="Q196" s="79"/>
      <c r="R196" s="368"/>
      <c r="S196" s="249"/>
      <c r="T196" s="250"/>
      <c r="U196" s="249"/>
      <c r="V196" s="250"/>
      <c r="X196" s="390">
        <f t="shared" si="39"/>
        <v>5</v>
      </c>
      <c r="Y196" s="81">
        <f t="shared" si="37"/>
        <v>1</v>
      </c>
      <c r="AA196" s="400"/>
      <c r="AB196" s="396"/>
      <c r="AC196" s="396">
        <v>5</v>
      </c>
      <c r="AD196" s="396"/>
      <c r="AE196" s="401"/>
    </row>
    <row r="197" spans="1:31" ht="12.75" customHeight="1">
      <c r="A197" s="77"/>
      <c r="B197" s="256" t="s">
        <v>22</v>
      </c>
      <c r="C197" s="241"/>
      <c r="D197" s="254" t="s">
        <v>150</v>
      </c>
      <c r="E197" s="233" t="s">
        <v>204</v>
      </c>
      <c r="F197" s="233"/>
      <c r="G197" s="233"/>
      <c r="H197" s="284" t="s">
        <v>9</v>
      </c>
      <c r="I197" s="234">
        <v>5</v>
      </c>
      <c r="J197" s="235">
        <f t="shared" si="46"/>
        <v>1</v>
      </c>
      <c r="K197" s="236">
        <f t="shared" si="35"/>
        <v>0</v>
      </c>
      <c r="L197" s="237">
        <f t="shared" si="36"/>
        <v>0</v>
      </c>
      <c r="M197" s="375">
        <v>81</v>
      </c>
      <c r="N197" s="376"/>
      <c r="O197" s="376"/>
      <c r="P197" s="377"/>
      <c r="Q197" s="79"/>
      <c r="R197" s="368"/>
      <c r="S197" s="249"/>
      <c r="T197" s="250"/>
      <c r="U197" s="249"/>
      <c r="V197" s="250"/>
      <c r="X197" s="390">
        <f t="shared" si="39"/>
        <v>5</v>
      </c>
      <c r="Y197" s="81">
        <f t="shared" si="37"/>
        <v>1</v>
      </c>
      <c r="AA197" s="400"/>
      <c r="AB197" s="396"/>
      <c r="AC197" s="396">
        <v>5</v>
      </c>
      <c r="AD197" s="396"/>
      <c r="AE197" s="401"/>
    </row>
    <row r="198" spans="1:31" ht="12.75" customHeight="1">
      <c r="A198" s="77"/>
      <c r="B198" s="256" t="s">
        <v>22</v>
      </c>
      <c r="C198" s="241"/>
      <c r="D198" s="254" t="s">
        <v>151</v>
      </c>
      <c r="E198" s="233" t="s">
        <v>205</v>
      </c>
      <c r="F198" s="233"/>
      <c r="G198" s="233"/>
      <c r="H198" s="284" t="s">
        <v>9</v>
      </c>
      <c r="I198" s="234">
        <v>5</v>
      </c>
      <c r="J198" s="235">
        <f t="shared" si="46"/>
        <v>1</v>
      </c>
      <c r="K198" s="236">
        <f t="shared" si="35"/>
        <v>0</v>
      </c>
      <c r="L198" s="237">
        <f t="shared" si="36"/>
        <v>0</v>
      </c>
      <c r="M198" s="375">
        <v>131.5</v>
      </c>
      <c r="N198" s="376"/>
      <c r="O198" s="376"/>
      <c r="P198" s="377"/>
      <c r="Q198" s="79"/>
      <c r="R198" s="368"/>
      <c r="S198" s="249"/>
      <c r="T198" s="250"/>
      <c r="U198" s="249"/>
      <c r="V198" s="250"/>
      <c r="X198" s="390">
        <f t="shared" si="39"/>
        <v>5</v>
      </c>
      <c r="Y198" s="81">
        <f t="shared" si="37"/>
        <v>1</v>
      </c>
      <c r="AA198" s="400"/>
      <c r="AB198" s="396"/>
      <c r="AC198" s="396">
        <v>5</v>
      </c>
      <c r="AD198" s="396"/>
      <c r="AE198" s="401"/>
    </row>
    <row r="199" spans="1:31" ht="12.75" customHeight="1" thickBot="1">
      <c r="A199" s="77"/>
      <c r="B199" s="256" t="s">
        <v>22</v>
      </c>
      <c r="C199" s="241"/>
      <c r="D199" s="254" t="s">
        <v>152</v>
      </c>
      <c r="E199" s="233" t="s">
        <v>206</v>
      </c>
      <c r="F199" s="233"/>
      <c r="G199" s="233"/>
      <c r="H199" s="284" t="s">
        <v>14</v>
      </c>
      <c r="I199" s="234">
        <v>1</v>
      </c>
      <c r="J199" s="235">
        <f t="shared" si="46"/>
        <v>1</v>
      </c>
      <c r="K199" s="236">
        <f t="shared" si="35"/>
        <v>0</v>
      </c>
      <c r="L199" s="237">
        <f t="shared" si="36"/>
        <v>0</v>
      </c>
      <c r="M199" s="375">
        <v>5800.02</v>
      </c>
      <c r="N199" s="376"/>
      <c r="O199" s="376"/>
      <c r="P199" s="377"/>
      <c r="Q199" s="79"/>
      <c r="R199" s="368"/>
      <c r="S199" s="249"/>
      <c r="T199" s="250"/>
      <c r="U199" s="249"/>
      <c r="V199" s="250"/>
      <c r="X199" s="390">
        <f t="shared" si="39"/>
        <v>1</v>
      </c>
      <c r="Y199" s="81">
        <f t="shared" si="37"/>
        <v>1</v>
      </c>
      <c r="AA199" s="402"/>
      <c r="AB199" s="403"/>
      <c r="AC199" s="403">
        <v>1</v>
      </c>
      <c r="AD199" s="403"/>
      <c r="AE199" s="404"/>
    </row>
    <row r="200" spans="1:31" ht="12.75" customHeight="1" thickBot="1">
      <c r="A200" s="77"/>
      <c r="B200" s="256"/>
      <c r="C200" s="242"/>
      <c r="D200" s="255"/>
      <c r="E200" s="243"/>
      <c r="F200" s="243"/>
      <c r="G200" s="243"/>
      <c r="H200" s="284">
        <f>IF(D200=0,0,VLOOKUP(D200,#REF!,3,FALSE))</f>
        <v>0</v>
      </c>
      <c r="I200" s="244"/>
      <c r="J200" s="245"/>
      <c r="K200" s="236">
        <f t="shared" ref="K200" si="47">IF(ISBLANK(total),0,IF((A200)="cima",ROUNDUP(O200/total,4),IF((A200)="baixo",ROUNDDOWN(O200/total,4),ROUND(O200/total,4))))</f>
        <v>0</v>
      </c>
      <c r="L200" s="237">
        <f t="shared" ref="L200" si="48">IF(I200=0,0,IF(J200&gt;100%,"excesso",IF(ISNUMBER(J200),ROUND(J200*K200,4),IF(J200="&lt;excesso",ROUND(100%*K200,4),0))))</f>
        <v>0</v>
      </c>
      <c r="M200" s="238"/>
      <c r="N200" s="239">
        <f t="shared" ref="N200" si="49">IF(J200&gt;100%,O200,IF(ISBLANK(I200),0,IF((R200)="cima",ROUNDUP(J200*O200,2),IF((R200)="baixo",ROUNDDOWN(J200*O200,2),ROUND(J200*O200,2)))))</f>
        <v>0</v>
      </c>
      <c r="O200" s="239">
        <f t="shared" ref="O200" si="50">IF((R200)="cima",ROUNDUP(I200*M200,2),IF((R200)="baixo",ROUNDDOWN(I200*M200,2),ROUND(I200*M200,2)))</f>
        <v>0</v>
      </c>
      <c r="P200" s="240">
        <f t="shared" ref="P200" si="51">O200-N200</f>
        <v>0</v>
      </c>
      <c r="Q200" s="79"/>
      <c r="R200" s="80"/>
      <c r="S200" s="249"/>
      <c r="T200" s="250"/>
      <c r="U200" s="249"/>
      <c r="V200" s="250"/>
      <c r="X200" s="78">
        <v>0</v>
      </c>
      <c r="Y200" s="81">
        <f t="shared" ref="Y200" si="52">IF(I200=0,0,X200/I200)</f>
        <v>0</v>
      </c>
      <c r="AA200" s="394"/>
      <c r="AB200" s="394"/>
      <c r="AC200" s="394"/>
      <c r="AD200" s="394"/>
      <c r="AE200" s="394"/>
    </row>
    <row r="201" spans="1:31" ht="12.75" customHeight="1" thickTop="1" thickBot="1">
      <c r="A201" s="83">
        <f>S205</f>
        <v>0.99940000000000029</v>
      </c>
      <c r="B201" s="14"/>
      <c r="C201" s="84"/>
      <c r="D201" s="85"/>
      <c r="E201" s="85"/>
      <c r="F201" s="86"/>
      <c r="G201" s="87" t="s">
        <v>76</v>
      </c>
      <c r="H201" s="88">
        <f>IF(ISBLANK(total),0,RESUMO!I26/total)</f>
        <v>1</v>
      </c>
      <c r="I201" s="89"/>
      <c r="J201" s="90" t="s">
        <v>77</v>
      </c>
      <c r="K201" s="91"/>
      <c r="L201" s="92">
        <f>IF(N201=0,0,N201/total)</f>
        <v>0.97930856356283591</v>
      </c>
      <c r="M201" s="93" t="s">
        <v>78</v>
      </c>
      <c r="N201" s="387">
        <f>SUM(N9:N200)</f>
        <v>955636.1</v>
      </c>
      <c r="O201" s="380">
        <f>SUM(O9:O200)</f>
        <v>975827.36999999988</v>
      </c>
      <c r="P201" s="361">
        <f>SUM(P9:P200)</f>
        <v>20191.270000000011</v>
      </c>
      <c r="Q201" s="94"/>
      <c r="R201" s="95"/>
      <c r="S201" s="251"/>
      <c r="T201" s="252">
        <f>SUM(T9:T200)</f>
        <v>955636.10000000009</v>
      </c>
      <c r="U201" s="252"/>
      <c r="V201" s="253">
        <f>SUM(V9:V200)</f>
        <v>975827.37000000011</v>
      </c>
      <c r="Y201"/>
    </row>
    <row r="202" spans="1:31" ht="12.75" customHeight="1" thickTop="1">
      <c r="A202" s="13"/>
      <c r="B202" s="14"/>
      <c r="C202" s="96" t="s">
        <v>79</v>
      </c>
      <c r="D202" s="97"/>
      <c r="E202" s="98"/>
      <c r="F202" s="98"/>
      <c r="G202" s="99"/>
      <c r="H202" s="100"/>
      <c r="I202" s="100"/>
      <c r="J202" s="100"/>
      <c r="K202" s="101"/>
      <c r="L202" s="102"/>
      <c r="M202" s="103" t="s">
        <v>80</v>
      </c>
      <c r="N202" s="104"/>
      <c r="O202" s="373">
        <v>975827.37</v>
      </c>
      <c r="P202" s="374"/>
      <c r="Q202" s="55"/>
      <c r="R202" s="105"/>
      <c r="S202" s="105"/>
      <c r="T202" s="106"/>
      <c r="U202"/>
      <c r="V202"/>
    </row>
    <row r="203" spans="1:31" ht="12.75" customHeight="1">
      <c r="A203" s="13"/>
      <c r="B203" s="14"/>
      <c r="C203" s="107"/>
      <c r="D203" s="108"/>
      <c r="E203" s="109"/>
      <c r="F203" s="109"/>
      <c r="G203" s="108"/>
      <c r="H203" s="108"/>
      <c r="I203" s="108"/>
      <c r="J203" s="109"/>
      <c r="K203" s="109"/>
      <c r="L203" s="110"/>
      <c r="M203" s="111" t="s">
        <v>81</v>
      </c>
      <c r="N203" s="112"/>
      <c r="O203" s="388">
        <f>RESUMO!M26</f>
        <v>955636.10000000009</v>
      </c>
      <c r="P203" s="389"/>
      <c r="Q203" s="55"/>
      <c r="R203" s="113"/>
      <c r="S203" s="113"/>
      <c r="T203" s="114"/>
    </row>
    <row r="204" spans="1:31" ht="12.75" customHeight="1">
      <c r="A204" s="13"/>
      <c r="B204" s="14"/>
      <c r="C204" s="115"/>
      <c r="D204" s="116"/>
      <c r="E204" s="117"/>
      <c r="F204" s="117"/>
      <c r="G204" s="118"/>
      <c r="H204" s="117"/>
      <c r="I204" s="117"/>
      <c r="J204" s="117"/>
      <c r="K204" s="117"/>
      <c r="L204" s="119"/>
      <c r="M204" s="111" t="s">
        <v>82</v>
      </c>
      <c r="N204" s="120"/>
      <c r="O204" s="269">
        <f>RESUMO!O29</f>
        <v>461468.64</v>
      </c>
      <c r="P204" s="246"/>
      <c r="Q204" s="55"/>
      <c r="R204" s="121" t="s">
        <v>83</v>
      </c>
      <c r="S204" s="122"/>
      <c r="T204" s="114"/>
    </row>
    <row r="205" spans="1:31" ht="12.75" customHeight="1" thickBot="1">
      <c r="A205" s="13"/>
      <c r="B205" s="14"/>
      <c r="C205" s="123"/>
      <c r="D205" s="124"/>
      <c r="E205" s="125"/>
      <c r="F205" s="125"/>
      <c r="G205" s="125"/>
      <c r="H205" s="125"/>
      <c r="I205" s="125"/>
      <c r="J205" s="125"/>
      <c r="K205" s="125"/>
      <c r="L205" s="126"/>
      <c r="M205" s="127" t="s">
        <v>84</v>
      </c>
      <c r="N205" s="128"/>
      <c r="O205" s="248">
        <f>O203-O204</f>
        <v>494167.46000000008</v>
      </c>
      <c r="P205" s="247"/>
      <c r="Q205" s="55"/>
      <c r="R205" s="129" t="s">
        <v>85</v>
      </c>
      <c r="S205" s="130">
        <f>SUM(K9:K200)</f>
        <v>0.99940000000000029</v>
      </c>
      <c r="T205" s="114"/>
    </row>
    <row r="206" spans="1:31" ht="13.5" thickTop="1">
      <c r="A206" s="157"/>
      <c r="B206" s="154"/>
      <c r="C206" s="131" t="s">
        <v>86</v>
      </c>
      <c r="D206" s="132"/>
      <c r="E206" s="133"/>
      <c r="F206" s="133"/>
      <c r="G206" s="133"/>
      <c r="H206" s="133"/>
      <c r="I206" s="133"/>
      <c r="J206" s="133"/>
      <c r="K206" s="133"/>
      <c r="L206" s="134"/>
      <c r="M206" s="341"/>
      <c r="N206" s="134"/>
      <c r="O206" s="134"/>
      <c r="P206" s="135"/>
      <c r="Q206" s="136"/>
      <c r="R206" s="348"/>
      <c r="S206" s="349"/>
      <c r="T206" s="350"/>
      <c r="U206"/>
      <c r="V206"/>
      <c r="W206"/>
      <c r="X206"/>
      <c r="Y206"/>
    </row>
    <row r="207" spans="1:31" ht="93.75" customHeight="1">
      <c r="A207" s="157"/>
      <c r="B207" s="154"/>
      <c r="C207" s="346"/>
      <c r="D207" s="351"/>
      <c r="E207" s="352"/>
      <c r="F207" s="352"/>
      <c r="G207" s="98"/>
      <c r="H207" s="352"/>
      <c r="I207" s="352"/>
      <c r="J207" s="352"/>
      <c r="K207" s="352"/>
      <c r="L207" s="98"/>
      <c r="M207" s="104"/>
      <c r="N207" s="352"/>
      <c r="O207" s="352"/>
      <c r="P207" s="347"/>
      <c r="Q207" s="136"/>
      <c r="R207" s="353"/>
      <c r="S207" s="354"/>
      <c r="T207" s="350"/>
      <c r="U207"/>
      <c r="V207"/>
      <c r="W207"/>
      <c r="X207"/>
      <c r="Y207"/>
    </row>
    <row r="208" spans="1:31" ht="70.5" customHeight="1" thickBot="1">
      <c r="A208" s="355"/>
      <c r="B208" s="356"/>
      <c r="C208" s="357"/>
      <c r="D208" s="411" t="s">
        <v>222</v>
      </c>
      <c r="E208" s="411"/>
      <c r="F208" s="411"/>
      <c r="G208" s="358"/>
      <c r="H208" s="411" t="s">
        <v>221</v>
      </c>
      <c r="I208" s="411"/>
      <c r="J208" s="411"/>
      <c r="K208" s="411"/>
      <c r="L208" s="359"/>
      <c r="M208" s="411" t="s">
        <v>216</v>
      </c>
      <c r="N208" s="411"/>
      <c r="O208" s="411"/>
      <c r="P208" s="137"/>
      <c r="Q208" s="138"/>
      <c r="R208" s="139"/>
      <c r="S208" s="354"/>
      <c r="T208" s="360"/>
      <c r="U208"/>
      <c r="V208"/>
      <c r="W208"/>
      <c r="X208"/>
      <c r="Y208"/>
    </row>
    <row r="209" spans="1:22" ht="3" customHeight="1" thickBot="1">
      <c r="A209" s="14"/>
      <c r="B209" s="14"/>
      <c r="C209" s="141"/>
      <c r="D209" s="142"/>
      <c r="E209" s="142"/>
      <c r="F209" s="142"/>
      <c r="G209" s="142"/>
      <c r="H209" s="142"/>
      <c r="I209" s="142"/>
      <c r="J209" s="142"/>
      <c r="K209" s="142"/>
      <c r="L209" s="142"/>
      <c r="M209" s="142"/>
      <c r="N209" s="142"/>
      <c r="O209" s="143"/>
      <c r="P209" s="144"/>
      <c r="Q209" s="145"/>
      <c r="R209" s="146"/>
      <c r="S209" s="147"/>
      <c r="T209" s="140"/>
      <c r="U209"/>
      <c r="V209"/>
    </row>
    <row r="210" spans="1:22">
      <c r="P210" s="148"/>
      <c r="Q210" s="148"/>
      <c r="R210"/>
      <c r="U210"/>
      <c r="V210"/>
    </row>
    <row r="211" spans="1:22">
      <c r="U211"/>
      <c r="V211"/>
    </row>
    <row r="212" spans="1:22">
      <c r="J212" s="149"/>
      <c r="U212"/>
      <c r="V212"/>
    </row>
    <row r="213" spans="1:22">
      <c r="U213"/>
      <c r="V213"/>
    </row>
    <row r="214" spans="1:22">
      <c r="U214"/>
      <c r="V214"/>
    </row>
    <row r="215" spans="1:22">
      <c r="U215"/>
      <c r="V215"/>
    </row>
    <row r="216" spans="1:22">
      <c r="U216"/>
      <c r="V216"/>
    </row>
    <row r="217" spans="1:22">
      <c r="U217"/>
      <c r="V217"/>
    </row>
    <row r="218" spans="1:22">
      <c r="U218"/>
      <c r="V218"/>
    </row>
    <row r="219" spans="1:22">
      <c r="U219"/>
      <c r="V219"/>
    </row>
    <row r="220" spans="1:22">
      <c r="U220"/>
      <c r="V220"/>
    </row>
    <row r="221" spans="1:22">
      <c r="U221"/>
      <c r="V221"/>
    </row>
    <row r="222" spans="1:22">
      <c r="U222"/>
      <c r="V222"/>
    </row>
    <row r="223" spans="1:22">
      <c r="U223"/>
      <c r="V223"/>
    </row>
    <row r="224" spans="1:22">
      <c r="U224"/>
      <c r="V224"/>
    </row>
    <row r="225" spans="21:22">
      <c r="U225"/>
      <c r="V225"/>
    </row>
    <row r="226" spans="21:22">
      <c r="U226"/>
      <c r="V226"/>
    </row>
    <row r="227" spans="21:22">
      <c r="U227"/>
      <c r="V227"/>
    </row>
    <row r="228" spans="21:22">
      <c r="U228"/>
      <c r="V228"/>
    </row>
    <row r="229" spans="21:22">
      <c r="U229"/>
      <c r="V229"/>
    </row>
    <row r="230" spans="21:22">
      <c r="U230"/>
      <c r="V230"/>
    </row>
    <row r="231" spans="21:22">
      <c r="U231"/>
      <c r="V231"/>
    </row>
    <row r="232" spans="21:22">
      <c r="U232"/>
      <c r="V232"/>
    </row>
    <row r="233" spans="21:22">
      <c r="U233"/>
      <c r="V233"/>
    </row>
    <row r="234" spans="21:22">
      <c r="U234"/>
      <c r="V234"/>
    </row>
    <row r="235" spans="21:22">
      <c r="U235"/>
      <c r="V235"/>
    </row>
    <row r="236" spans="21:22">
      <c r="U236"/>
      <c r="V236"/>
    </row>
    <row r="237" spans="21:22">
      <c r="U237"/>
      <c r="V237"/>
    </row>
    <row r="238" spans="21:22">
      <c r="U238"/>
      <c r="V238"/>
    </row>
    <row r="239" spans="21:22">
      <c r="U239"/>
      <c r="V239"/>
    </row>
    <row r="240" spans="21:22">
      <c r="U240"/>
      <c r="V240"/>
    </row>
    <row r="241" spans="21:22">
      <c r="U241"/>
      <c r="V241"/>
    </row>
    <row r="242" spans="21:22">
      <c r="U242"/>
      <c r="V242"/>
    </row>
    <row r="243" spans="21:22">
      <c r="U243"/>
      <c r="V243"/>
    </row>
    <row r="244" spans="21:22">
      <c r="U244"/>
      <c r="V244"/>
    </row>
    <row r="245" spans="21:22">
      <c r="U245"/>
      <c r="V245"/>
    </row>
    <row r="246" spans="21:22">
      <c r="U246"/>
      <c r="V246"/>
    </row>
    <row r="247" spans="21:22">
      <c r="U247"/>
      <c r="V247"/>
    </row>
    <row r="248" spans="21:22">
      <c r="U248"/>
      <c r="V248"/>
    </row>
  </sheetData>
  <mergeCells count="3">
    <mergeCell ref="D208:F208"/>
    <mergeCell ref="H208:K208"/>
    <mergeCell ref="M208:O208"/>
  </mergeCells>
  <phoneticPr fontId="0" type="noConversion"/>
  <printOptions horizontalCentered="1" verticalCentered="1" gridLines="1" gridLinesSet="0"/>
  <pageMargins left="0.19685039370078741" right="0.19685039370078741" top="0.59055118110236227" bottom="0.19685039370078741" header="0.31496062992125984" footer="0.31496062992125984"/>
  <pageSetup scale="74" fitToHeight="0" orientation="landscape" horizontalDpi="4294967292" verticalDpi="300" r:id="rId1"/>
  <headerFooter alignWithMargins="0">
    <oddHeader>&amp;C&amp;"Arial,Negrito"&amp;14&amp;F</oddHeader>
    <oddFooter>&amp;C&amp;"Arial,Negrito"&amp;12Página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111"/>
  <sheetViews>
    <sheetView showGridLines="0" showZeros="0" tabSelected="1" topLeftCell="A10" zoomScale="94" zoomScaleNormal="94" workbookViewId="0">
      <selection activeCell="A38" sqref="A38:M38"/>
    </sheetView>
  </sheetViews>
  <sheetFormatPr defaultColWidth="8.42578125" defaultRowHeight="12.75"/>
  <cols>
    <col min="1" max="1" width="6.42578125" style="19" customWidth="1"/>
    <col min="2" max="2" width="7.140625" style="19" customWidth="1"/>
    <col min="3" max="3" width="1.140625" style="14" customWidth="1"/>
    <col min="4" max="4" width="13.42578125" style="14" customWidth="1"/>
    <col min="5" max="5" width="6.42578125" style="14" customWidth="1"/>
    <col min="6" max="6" width="13" style="19" customWidth="1"/>
    <col min="7" max="7" width="23" style="19" customWidth="1"/>
    <col min="8" max="8" width="11.42578125" style="19" customWidth="1"/>
    <col min="9" max="9" width="19.85546875" style="19" customWidth="1"/>
    <col min="10" max="10" width="9" style="19" customWidth="1"/>
    <col min="11" max="11" width="7" style="19" customWidth="1"/>
    <col min="12" max="12" width="16.140625" style="19" bestFit="1" customWidth="1"/>
    <col min="13" max="13" width="14" style="19" bestFit="1" customWidth="1"/>
    <col min="14" max="14" width="1.140625" style="14" customWidth="1"/>
    <col min="15" max="15" width="14.42578125" style="19" customWidth="1"/>
    <col min="16" max="16" width="17.85546875" style="19" customWidth="1"/>
    <col min="17" max="17" width="11.85546875" style="19" customWidth="1"/>
    <col min="18" max="18" width="13.42578125" style="19" customWidth="1"/>
    <col min="19" max="19" width="13.42578125" style="156" customWidth="1"/>
    <col min="20" max="20" width="13.42578125" style="19" customWidth="1"/>
    <col min="21" max="21" width="13.42578125" style="156" customWidth="1"/>
    <col min="22" max="16384" width="8.42578125" style="19"/>
  </cols>
  <sheetData>
    <row r="1" spans="1:21" ht="80.25" customHeight="1" thickBot="1">
      <c r="A1" s="412"/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4"/>
    </row>
    <row r="2" spans="1:21" ht="18">
      <c r="A2" s="150" t="s">
        <v>112</v>
      </c>
      <c r="B2" s="151"/>
      <c r="C2" s="151"/>
      <c r="D2" s="151"/>
      <c r="E2" s="151"/>
      <c r="F2" s="152"/>
      <c r="G2" s="152"/>
      <c r="H2" s="152"/>
      <c r="I2" s="152"/>
      <c r="J2" s="152"/>
      <c r="K2" s="152"/>
      <c r="L2" s="152"/>
      <c r="M2" s="153"/>
      <c r="N2" s="154"/>
      <c r="O2"/>
      <c r="P2"/>
      <c r="Q2"/>
      <c r="R2"/>
      <c r="S2" s="155"/>
      <c r="T2"/>
    </row>
    <row r="3" spans="1:21" ht="4.5" customHeight="1">
      <c r="A3" s="157"/>
      <c r="B3" s="154"/>
      <c r="C3" s="154"/>
      <c r="D3" s="154"/>
      <c r="E3" s="158"/>
      <c r="F3" s="154"/>
      <c r="G3" s="154"/>
      <c r="H3" s="154"/>
      <c r="I3" s="154"/>
      <c r="J3" s="154"/>
      <c r="K3" s="154"/>
      <c r="L3" s="154"/>
      <c r="M3" s="159"/>
      <c r="N3" s="154"/>
      <c r="O3"/>
      <c r="P3"/>
      <c r="Q3"/>
      <c r="R3"/>
      <c r="S3" s="155"/>
      <c r="T3"/>
    </row>
    <row r="4" spans="1:21" ht="12.75" customHeight="1">
      <c r="A4" s="160" t="s">
        <v>87</v>
      </c>
      <c r="B4" s="158"/>
      <c r="C4" s="161" t="s">
        <v>88</v>
      </c>
      <c r="D4" s="162" t="str">
        <f>MEDIÇÃO!G4</f>
        <v>MANDIRITUBA</v>
      </c>
      <c r="E4" s="158"/>
      <c r="F4" s="158"/>
      <c r="G4" s="158"/>
      <c r="H4" s="154"/>
      <c r="I4" s="154"/>
      <c r="J4" s="226" t="s">
        <v>43</v>
      </c>
      <c r="K4" s="438" t="str">
        <f>MEDIÇÃO!N3</f>
        <v>3</v>
      </c>
      <c r="L4" s="439"/>
      <c r="M4" s="159"/>
      <c r="N4" s="154"/>
      <c r="O4"/>
      <c r="P4"/>
      <c r="Q4"/>
      <c r="R4"/>
      <c r="S4" s="155"/>
      <c r="T4"/>
    </row>
    <row r="5" spans="1:21">
      <c r="A5" s="160" t="s">
        <v>117</v>
      </c>
      <c r="B5"/>
      <c r="C5" s="161"/>
      <c r="D5" s="162" t="str">
        <f>MEDIÇÃO!G5</f>
        <v>PAVIMENTAÇÃO DE VIAS URBANAS</v>
      </c>
      <c r="E5" s="158"/>
      <c r="F5" s="158"/>
      <c r="G5" s="158"/>
      <c r="H5" s="158"/>
      <c r="I5" s="154"/>
      <c r="J5" s="226" t="s">
        <v>116</v>
      </c>
      <c r="K5" s="440">
        <f>MEDIÇÃO!P3</f>
        <v>45138</v>
      </c>
      <c r="L5" s="440"/>
      <c r="M5" s="159"/>
      <c r="N5" s="154"/>
      <c r="O5"/>
      <c r="P5"/>
      <c r="Q5"/>
      <c r="R5"/>
      <c r="S5" s="155"/>
      <c r="T5"/>
    </row>
    <row r="6" spans="1:21">
      <c r="A6" s="160" t="s">
        <v>89</v>
      </c>
      <c r="B6" s="158"/>
      <c r="C6" s="161" t="s">
        <v>88</v>
      </c>
      <c r="D6" s="330"/>
      <c r="E6" s="161"/>
      <c r="F6" s="158"/>
      <c r="G6" s="158"/>
      <c r="H6" s="154"/>
      <c r="I6" s="165"/>
      <c r="J6" s="154"/>
      <c r="K6" s="154"/>
      <c r="L6" s="154"/>
      <c r="M6" s="163"/>
      <c r="N6" s="154"/>
      <c r="O6"/>
      <c r="P6"/>
      <c r="Q6"/>
      <c r="R6"/>
      <c r="S6" s="155"/>
      <c r="T6"/>
    </row>
    <row r="7" spans="1:21" ht="12" customHeight="1">
      <c r="A7" s="160"/>
      <c r="B7" s="158"/>
      <c r="C7" s="158"/>
      <c r="D7" s="161"/>
      <c r="E7" s="161"/>
      <c r="F7" s="164"/>
      <c r="G7" s="158"/>
      <c r="H7" s="154"/>
      <c r="I7" s="165"/>
      <c r="J7" s="154"/>
      <c r="K7" s="154"/>
      <c r="L7" s="154"/>
      <c r="M7" s="163"/>
      <c r="N7" s="166"/>
      <c r="O7"/>
      <c r="P7"/>
      <c r="Q7"/>
      <c r="R7"/>
      <c r="S7" s="155"/>
      <c r="T7"/>
    </row>
    <row r="8" spans="1:21">
      <c r="A8" s="160" t="s">
        <v>90</v>
      </c>
      <c r="B8" s="158"/>
      <c r="C8" s="158"/>
      <c r="D8" s="161"/>
      <c r="E8" s="161" t="s">
        <v>88</v>
      </c>
      <c r="F8" s="162" t="str">
        <f>MEDIÇÃO!G6</f>
        <v>COPATER CONSTRUTORA DE OBRAS LTDA</v>
      </c>
      <c r="G8" s="161"/>
      <c r="H8" s="154"/>
      <c r="I8" s="154"/>
      <c r="J8" s="154"/>
      <c r="K8" s="154"/>
      <c r="L8" s="154"/>
      <c r="M8" s="163"/>
      <c r="N8" s="167"/>
      <c r="O8"/>
      <c r="P8"/>
      <c r="Q8"/>
      <c r="R8"/>
      <c r="S8" s="155"/>
      <c r="T8"/>
    </row>
    <row r="9" spans="1:21">
      <c r="A9" s="160" t="s">
        <v>91</v>
      </c>
      <c r="B9" s="158"/>
      <c r="C9" s="158"/>
      <c r="D9" s="161"/>
      <c r="E9" s="161" t="s">
        <v>88</v>
      </c>
      <c r="F9" s="329" t="str">
        <f>MEDIÇÃO!N5</f>
        <v>177/2022</v>
      </c>
      <c r="G9" s="331" t="s">
        <v>8</v>
      </c>
      <c r="H9" s="332">
        <f>MEDIÇÃO!N6</f>
        <v>44854</v>
      </c>
      <c r="I9" s="46"/>
      <c r="J9" s="333" t="s">
        <v>7</v>
      </c>
      <c r="K9" s="438" t="str">
        <f>MEDIÇÃO!P5</f>
        <v>5291/2022</v>
      </c>
      <c r="L9" s="439"/>
      <c r="M9" s="163"/>
      <c r="N9" s="167"/>
      <c r="O9"/>
      <c r="P9"/>
      <c r="Q9"/>
      <c r="R9"/>
      <c r="S9" s="155"/>
      <c r="T9"/>
    </row>
    <row r="10" spans="1:21">
      <c r="A10" s="160" t="s">
        <v>41</v>
      </c>
      <c r="B10" s="158"/>
      <c r="C10" s="158"/>
      <c r="D10" s="161"/>
      <c r="E10" s="161" t="s">
        <v>88</v>
      </c>
      <c r="F10" s="334">
        <f>MEDIÇÃO!total</f>
        <v>975827.37</v>
      </c>
      <c r="G10" s="294"/>
      <c r="H10" s="154"/>
      <c r="J10" s="226" t="s">
        <v>8</v>
      </c>
      <c r="K10" s="440">
        <f>MEDIÇÃO!P6</f>
        <v>44881</v>
      </c>
      <c r="L10" s="440"/>
      <c r="M10" s="163"/>
      <c r="N10" s="154"/>
      <c r="O10"/>
      <c r="P10"/>
      <c r="Q10"/>
      <c r="R10"/>
      <c r="S10" s="155"/>
      <c r="T10"/>
    </row>
    <row r="11" spans="1:21" ht="13.5" thickBot="1">
      <c r="A11" s="160" t="s">
        <v>39</v>
      </c>
      <c r="B11" s="158"/>
      <c r="C11" s="161" t="s">
        <v>88</v>
      </c>
      <c r="D11" s="335">
        <f>MEDIÇÃO!L4</f>
        <v>71</v>
      </c>
      <c r="E11" s="158"/>
      <c r="F11" s="158"/>
      <c r="G11" s="168"/>
      <c r="H11" s="168"/>
      <c r="I11" s="158"/>
      <c r="J11" s="154"/>
      <c r="K11" s="154"/>
      <c r="L11" s="154"/>
      <c r="M11" s="163"/>
      <c r="N11" s="154"/>
      <c r="O11"/>
      <c r="P11"/>
      <c r="Q11"/>
      <c r="R11"/>
      <c r="S11" s="155"/>
      <c r="T11"/>
    </row>
    <row r="12" spans="1:21" ht="15" customHeight="1" thickTop="1" thickBot="1">
      <c r="A12" s="160" t="s">
        <v>42</v>
      </c>
      <c r="B12" s="158"/>
      <c r="C12" s="161" t="s">
        <v>88</v>
      </c>
      <c r="D12" s="335" t="str">
        <f>MEDIÇÃO!L5</f>
        <v>01</v>
      </c>
      <c r="E12" s="154"/>
      <c r="F12" s="154"/>
      <c r="G12" s="168"/>
      <c r="H12" s="168"/>
      <c r="I12" s="158"/>
      <c r="J12" s="154"/>
      <c r="K12" s="154"/>
      <c r="L12" s="154"/>
      <c r="M12" s="163"/>
      <c r="N12" s="154"/>
      <c r="O12" s="441" t="s">
        <v>2</v>
      </c>
      <c r="P12" s="432" t="s">
        <v>3</v>
      </c>
      <c r="Q12" s="433"/>
      <c r="R12" s="169" t="s">
        <v>57</v>
      </c>
      <c r="S12" s="169"/>
      <c r="T12" s="270"/>
      <c r="U12" s="271"/>
    </row>
    <row r="13" spans="1:21" ht="12.95" customHeight="1" thickTop="1">
      <c r="A13" s="172"/>
      <c r="B13" s="173"/>
      <c r="C13" s="272"/>
      <c r="D13" s="152"/>
      <c r="E13" s="152"/>
      <c r="F13" s="152"/>
      <c r="G13" s="174"/>
      <c r="H13" s="272"/>
      <c r="I13" s="174"/>
      <c r="J13" s="175"/>
      <c r="K13" s="176" t="s">
        <v>35</v>
      </c>
      <c r="L13" s="177"/>
      <c r="M13" s="178" t="s">
        <v>23</v>
      </c>
      <c r="N13" s="154"/>
      <c r="O13" s="442"/>
      <c r="P13" s="434"/>
      <c r="Q13" s="435"/>
      <c r="R13" s="303"/>
      <c r="S13" s="155"/>
      <c r="T13" s="170" t="s">
        <v>92</v>
      </c>
      <c r="U13" s="170" t="s">
        <v>93</v>
      </c>
    </row>
    <row r="14" spans="1:21" ht="12.95" customHeight="1">
      <c r="A14" s="282" t="s">
        <v>99</v>
      </c>
      <c r="B14" s="283" t="s">
        <v>36</v>
      </c>
      <c r="C14" s="281" t="s">
        <v>100</v>
      </c>
      <c r="D14" s="279"/>
      <c r="E14" s="279"/>
      <c r="F14" s="279"/>
      <c r="G14" s="280"/>
      <c r="H14" s="273" t="s">
        <v>94</v>
      </c>
      <c r="I14" s="274"/>
      <c r="J14" s="275" t="s">
        <v>95</v>
      </c>
      <c r="K14" s="276" t="s">
        <v>96</v>
      </c>
      <c r="L14" s="277"/>
      <c r="M14" s="257" t="s">
        <v>6</v>
      </c>
      <c r="N14" s="154"/>
      <c r="O14" s="442"/>
      <c r="P14" s="436"/>
      <c r="Q14" s="437"/>
      <c r="R14" s="155"/>
      <c r="S14" s="155"/>
      <c r="T14" s="171" t="s">
        <v>97</v>
      </c>
      <c r="U14" s="171" t="s">
        <v>98</v>
      </c>
    </row>
    <row r="15" spans="1:21" ht="12.95" customHeight="1" thickBot="1">
      <c r="A15" s="179"/>
      <c r="B15" s="180"/>
      <c r="C15" s="181"/>
      <c r="D15" s="182"/>
      <c r="E15" s="182"/>
      <c r="F15" s="183"/>
      <c r="G15" s="184"/>
      <c r="H15" s="278" t="s">
        <v>101</v>
      </c>
      <c r="I15" s="185" t="s">
        <v>102</v>
      </c>
      <c r="J15" s="186" t="s">
        <v>103</v>
      </c>
      <c r="K15" s="187" t="s">
        <v>104</v>
      </c>
      <c r="L15" s="188"/>
      <c r="M15" s="311" t="s">
        <v>105</v>
      </c>
      <c r="N15" s="189"/>
      <c r="O15" s="443"/>
      <c r="P15" s="309" t="s">
        <v>4</v>
      </c>
      <c r="Q15" s="304" t="s">
        <v>5</v>
      </c>
      <c r="R15" s="155"/>
      <c r="S15" s="310"/>
      <c r="T15" s="171" t="s">
        <v>106</v>
      </c>
      <c r="U15" s="190" t="s">
        <v>107</v>
      </c>
    </row>
    <row r="16" spans="1:21" ht="15" customHeight="1" thickTop="1">
      <c r="A16" s="191">
        <v>1</v>
      </c>
      <c r="B16" s="192">
        <f>IF(ISTEXT(VLOOKUP(A16,MEDIÇÃO!$C$9:$G$200,2,FALSE)),VLOOKUP(A16,MEDIÇÃO!$C$9:$G$200,2,FALSE),0)</f>
        <v>0</v>
      </c>
      <c r="C16" s="193" t="str">
        <f>IF(ISTEXT(VLOOKUP(A16,MEDIÇÃO!$C$9:$G$200,3,FALSE)),VLOOKUP(A16,MEDIÇÃO!$C$9:$G$200,3,FALSE),0)</f>
        <v>SERVIÇOS PRELIMINARES</v>
      </c>
      <c r="D16" s="194"/>
      <c r="E16" s="195"/>
      <c r="F16" s="195"/>
      <c r="G16" s="195"/>
      <c r="H16" s="196">
        <v>1</v>
      </c>
      <c r="I16" s="197">
        <f>ROUNDDOWN(H16*K16,2)</f>
        <v>0</v>
      </c>
      <c r="J16" s="198">
        <f t="shared" ref="J16:J25" si="0">IF(K16=0,0,M16/K16)</f>
        <v>0</v>
      </c>
      <c r="K16" s="199">
        <f>IF(ISNUMBER(C16),0,VLOOKUP(A16,MEDIÇÃO!$C$9:$V$200,20,FALSE))</f>
        <v>0</v>
      </c>
      <c r="L16" s="200"/>
      <c r="M16" s="201">
        <f>IF(ISNUMBER(C16),0,IF(T16="OK",VLOOKUP(A16,MEDIÇÃO!$C$9:$AC$200,18,FALSE),IF(R14="ATRASO",O16,VLOOKUP(A16,MEDIÇÃO!$C$9:$AC$200,18,FALSE))))</f>
        <v>0</v>
      </c>
      <c r="N16" s="202"/>
      <c r="O16" s="258">
        <v>0</v>
      </c>
      <c r="P16" s="286">
        <f>M16-O16</f>
        <v>0</v>
      </c>
      <c r="Q16" s="370">
        <f>IF(K16=0,0,ROUND(P16*100000/K16,4))</f>
        <v>0</v>
      </c>
      <c r="R16" s="308" t="str">
        <f t="shared" ref="R16:R25" si="1">IF(C16=0,0,IF(R14="ATRASO","ATRASO",IF(S16="X","ATRASO",IF(M16&lt;I16,"ATRASO","OK"))))</f>
        <v>OK</v>
      </c>
      <c r="S16" s="308" t="str">
        <f t="shared" ref="S16:S25" si="2">IF(C16=0,0,IF(R15="ATRASO","X",""))</f>
        <v/>
      </c>
      <c r="T16" s="308" t="s">
        <v>113</v>
      </c>
      <c r="U16" s="312" t="str">
        <f t="shared" ref="U16:U24" si="3">IF(C16=0,0,IF(J16&gt;H16+20%,IF(J17&lt;H17,"adiantado","normal"),"normal"))</f>
        <v>normal</v>
      </c>
    </row>
    <row r="17" spans="1:21" ht="15" customHeight="1">
      <c r="A17" s="191">
        <v>2</v>
      </c>
      <c r="B17" s="192">
        <f>IF(ISTEXT(VLOOKUP(A17,MEDIÇÃO!$C$9:$G$200,2,FALSE)),VLOOKUP(A17,MEDIÇÃO!$C$9:$G$200,2,FALSE),0)</f>
        <v>0</v>
      </c>
      <c r="C17" s="193" t="str">
        <f>IF(ISTEXT(VLOOKUP(A17,MEDIÇÃO!$C$9:$G$200,3,FALSE)),VLOOKUP(A17,MEDIÇÃO!$C$9:$G$200,3,FALSE),0)</f>
        <v>TERRAPLENAGEM</v>
      </c>
      <c r="D17" s="194"/>
      <c r="E17" s="194"/>
      <c r="F17" s="194"/>
      <c r="G17" s="195"/>
      <c r="H17" s="196">
        <v>1</v>
      </c>
      <c r="I17" s="197">
        <f t="shared" ref="I17:I25" si="4">ROUNDDOWN(H17*K17,2)</f>
        <v>5724.94</v>
      </c>
      <c r="J17" s="198">
        <f t="shared" si="0"/>
        <v>1</v>
      </c>
      <c r="K17" s="199">
        <f>IF(ISNUMBER(C17),0,VLOOKUP(A17,MEDIÇÃO!$C$9:$V$200,20,FALSE))</f>
        <v>5724.9400000000005</v>
      </c>
      <c r="L17" s="200"/>
      <c r="M17" s="201">
        <f>IF(ISNUMBER(C17),0,IF(T17="OK",VLOOKUP(A17,MEDIÇÃO!$C$9:$AC$200,18,FALSE),IF(R15="ATRASO",O17,VLOOKUP(A17,MEDIÇÃO!$C$9:$AC$200,18,FALSE))))</f>
        <v>5724.9400000000005</v>
      </c>
      <c r="N17" s="202"/>
      <c r="O17" s="259">
        <v>0</v>
      </c>
      <c r="P17" s="285">
        <f t="shared" ref="P17:P25" si="5">M17-O17</f>
        <v>5724.9400000000005</v>
      </c>
      <c r="Q17" s="370">
        <f t="shared" ref="Q17:Q24" si="6">IF(K17=0,0,ROUND(P17*100000/K17,4))</f>
        <v>100000</v>
      </c>
      <c r="R17" s="308" t="str">
        <f t="shared" si="1"/>
        <v>OK</v>
      </c>
      <c r="S17" s="308" t="str">
        <f t="shared" si="2"/>
        <v/>
      </c>
      <c r="T17" s="308" t="s">
        <v>113</v>
      </c>
      <c r="U17" s="308" t="str">
        <f t="shared" si="3"/>
        <v>normal</v>
      </c>
    </row>
    <row r="18" spans="1:21" ht="15" customHeight="1">
      <c r="A18" s="191">
        <v>3</v>
      </c>
      <c r="B18" s="192">
        <f>IF(ISTEXT(VLOOKUP(A18,MEDIÇÃO!$C$9:$G$200,2,FALSE)),VLOOKUP(A18,MEDIÇÃO!$C$9:$G$200,2,FALSE),0)</f>
        <v>0</v>
      </c>
      <c r="C18" s="193" t="str">
        <f>IF(ISTEXT(VLOOKUP(A18,MEDIÇÃO!$C$9:$G$200,3,FALSE)),VLOOKUP(A18,MEDIÇÃO!$C$9:$G$200,3,FALSE),0)</f>
        <v>BASE / SUB-BASE</v>
      </c>
      <c r="D18" s="195"/>
      <c r="E18" s="195"/>
      <c r="F18" s="195"/>
      <c r="G18" s="195"/>
      <c r="H18" s="196">
        <v>1</v>
      </c>
      <c r="I18" s="197">
        <f t="shared" si="4"/>
        <v>211769.69</v>
      </c>
      <c r="J18" s="198">
        <f t="shared" si="0"/>
        <v>1</v>
      </c>
      <c r="K18" s="199">
        <f>IF(ISNUMBER(C18),0,VLOOKUP(A18,MEDIÇÃO!$C$9:$V$200,20,FALSE))</f>
        <v>211769.69</v>
      </c>
      <c r="L18" s="200"/>
      <c r="M18" s="201">
        <f>IF(ISNUMBER(C18),0,IF(T18="OK",VLOOKUP(A18,MEDIÇÃO!$C$9:$AC$200,18,FALSE),IF(R16="ATRASO",O18,VLOOKUP(A18,MEDIÇÃO!$C$9:$AC$200,18,FALSE))))</f>
        <v>211769.69</v>
      </c>
      <c r="N18" s="202"/>
      <c r="O18" s="259">
        <v>75194.039999999994</v>
      </c>
      <c r="P18" s="285">
        <f t="shared" si="5"/>
        <v>136575.65000000002</v>
      </c>
      <c r="Q18" s="370">
        <f t="shared" si="6"/>
        <v>64492.538999999997</v>
      </c>
      <c r="R18" s="308" t="str">
        <f t="shared" si="1"/>
        <v>OK</v>
      </c>
      <c r="S18" s="308" t="str">
        <f t="shared" si="2"/>
        <v/>
      </c>
      <c r="T18" s="308" t="s">
        <v>113</v>
      </c>
      <c r="U18" s="308" t="str">
        <f t="shared" si="3"/>
        <v>normal</v>
      </c>
    </row>
    <row r="19" spans="1:21" ht="15" customHeight="1">
      <c r="A19" s="191">
        <v>4</v>
      </c>
      <c r="B19" s="192">
        <f>IF(ISTEXT(VLOOKUP(A19,MEDIÇÃO!$C$9:$G$200,2,FALSE)),VLOOKUP(A19,MEDIÇÃO!$C$9:$G$200,2,FALSE),0)</f>
        <v>0</v>
      </c>
      <c r="C19" s="193" t="str">
        <f>IF(ISTEXT(VLOOKUP(A19,MEDIÇÃO!$C$9:$G$200,3,FALSE)),VLOOKUP(A19,MEDIÇÃO!$C$9:$G$200,3,FALSE),0)</f>
        <v>REVESTIMENTO</v>
      </c>
      <c r="D19" s="195"/>
      <c r="E19" s="195"/>
      <c r="F19" s="195"/>
      <c r="G19" s="195"/>
      <c r="H19" s="196">
        <v>1</v>
      </c>
      <c r="I19" s="197">
        <f t="shared" si="4"/>
        <v>349172.31</v>
      </c>
      <c r="J19" s="198">
        <f t="shared" si="0"/>
        <v>0.9425719926073175</v>
      </c>
      <c r="K19" s="199">
        <f>IF(ISNUMBER(C19),0,VLOOKUP(A19,MEDIÇÃO!$C$9:$V$200,20,FALSE))</f>
        <v>349172.31000000006</v>
      </c>
      <c r="L19" s="200"/>
      <c r="M19" s="201">
        <f>IF(ISNUMBER(C19),0,IF(T19="OK",VLOOKUP(A19,MEDIÇÃO!$C$9:$AC$200,18,FALSE),IF(R17="ATRASO",O19,VLOOKUP(A19,MEDIÇÃO!$C$9:$AC$200,18,FALSE))))</f>
        <v>329120.04000000004</v>
      </c>
      <c r="N19" s="202"/>
      <c r="O19" s="259">
        <v>192530.18999999997</v>
      </c>
      <c r="P19" s="285">
        <f t="shared" si="5"/>
        <v>136589.85000000006</v>
      </c>
      <c r="Q19" s="370">
        <f t="shared" si="6"/>
        <v>39118.179199999999</v>
      </c>
      <c r="R19" s="308" t="str">
        <f t="shared" si="1"/>
        <v>ATRASO</v>
      </c>
      <c r="S19" s="308" t="str">
        <f t="shared" si="2"/>
        <v/>
      </c>
      <c r="T19" s="308" t="s">
        <v>113</v>
      </c>
      <c r="U19" s="308" t="str">
        <f t="shared" si="3"/>
        <v>normal</v>
      </c>
    </row>
    <row r="20" spans="1:21" ht="15" customHeight="1">
      <c r="A20" s="191">
        <v>5</v>
      </c>
      <c r="B20" s="192">
        <f>IF(ISTEXT(VLOOKUP(A20,MEDIÇÃO!$C$9:$G$200,2,FALSE)),VLOOKUP(A20,MEDIÇÃO!$C$9:$G$200,2,FALSE),0)</f>
        <v>0</v>
      </c>
      <c r="C20" s="193" t="str">
        <f>IF(ISTEXT(VLOOKUP(A20,MEDIÇÃO!$C$9:$G$200,3,FALSE)),VLOOKUP(A20,MEDIÇÃO!$C$9:$G$200,3,FALSE),0)</f>
        <v>MEIO-FIO E SARJETA</v>
      </c>
      <c r="D20" s="195"/>
      <c r="E20" s="195"/>
      <c r="F20" s="195"/>
      <c r="G20" s="195"/>
      <c r="H20" s="196">
        <v>1</v>
      </c>
      <c r="I20" s="197">
        <f t="shared" si="4"/>
        <v>59103.69</v>
      </c>
      <c r="J20" s="198">
        <f t="shared" si="0"/>
        <v>1</v>
      </c>
      <c r="K20" s="199">
        <f>IF(ISNUMBER(C20),0,VLOOKUP(A20,MEDIÇÃO!$C$9:$V$200,20,FALSE))</f>
        <v>59103.69</v>
      </c>
      <c r="L20" s="200"/>
      <c r="M20" s="201">
        <f>IF(ISNUMBER(C20),0,IF(T20="OK",VLOOKUP(A20,MEDIÇÃO!$C$9:$AC$200,18,FALSE),IF(R18="ATRASO",O20,VLOOKUP(A20,MEDIÇÃO!$C$9:$AC$200,18,FALSE))))</f>
        <v>59103.69</v>
      </c>
      <c r="N20" s="202"/>
      <c r="O20" s="259">
        <v>34626.519999999997</v>
      </c>
      <c r="P20" s="285">
        <f t="shared" si="5"/>
        <v>24477.170000000006</v>
      </c>
      <c r="Q20" s="370">
        <f t="shared" si="6"/>
        <v>41413.945599999999</v>
      </c>
      <c r="R20" s="308" t="str">
        <f t="shared" si="1"/>
        <v>ATRASO</v>
      </c>
      <c r="S20" s="308" t="str">
        <f t="shared" si="2"/>
        <v>X</v>
      </c>
      <c r="T20" s="308" t="s">
        <v>113</v>
      </c>
      <c r="U20" s="308" t="str">
        <f t="shared" si="3"/>
        <v>normal</v>
      </c>
    </row>
    <row r="21" spans="1:21" ht="15" customHeight="1">
      <c r="A21" s="191">
        <v>6</v>
      </c>
      <c r="B21" s="192">
        <f>IF(ISTEXT(VLOOKUP(A21,MEDIÇÃO!$C$9:$G$200,2,FALSE)),VLOOKUP(A21,MEDIÇÃO!$C$9:$G$200,2,FALSE),0)</f>
        <v>0</v>
      </c>
      <c r="C21" s="193" t="str">
        <f>IF(ISTEXT(VLOOKUP(A21,MEDIÇÃO!$C$9:$G$200,3,FALSE)),VLOOKUP(A21,MEDIÇÃO!$C$9:$G$200,3,FALSE),0)</f>
        <v>SERVIÇOS DE URBANIZAÇÃO</v>
      </c>
      <c r="D21" s="195"/>
      <c r="E21" s="195"/>
      <c r="F21" s="195"/>
      <c r="G21" s="195"/>
      <c r="H21" s="196">
        <v>1</v>
      </c>
      <c r="I21" s="197">
        <f t="shared" si="4"/>
        <v>152175.04999999999</v>
      </c>
      <c r="J21" s="198">
        <f t="shared" si="0"/>
        <v>1</v>
      </c>
      <c r="K21" s="199">
        <f>IF(ISNUMBER(C21),0,VLOOKUP(A21,MEDIÇÃO!$C$9:$V$200,20,FALSE))</f>
        <v>152175.04999999999</v>
      </c>
      <c r="L21" s="200"/>
      <c r="M21" s="201">
        <f>IF(ISNUMBER(C21),0,IF(T21="OK",VLOOKUP(A21,MEDIÇÃO!$C$9:$AC$200,18,FALSE),IF(R19="ATRASO",O21,VLOOKUP(A21,MEDIÇÃO!$C$9:$AC$200,18,FALSE))))</f>
        <v>152175.04999999999</v>
      </c>
      <c r="N21" s="202"/>
      <c r="O21" s="259">
        <v>24050.560000000001</v>
      </c>
      <c r="P21" s="285">
        <f t="shared" si="5"/>
        <v>128124.48999999999</v>
      </c>
      <c r="Q21" s="370">
        <f t="shared" si="6"/>
        <v>84195.464399999997</v>
      </c>
      <c r="R21" s="308" t="str">
        <f t="shared" si="1"/>
        <v>ATRASO</v>
      </c>
      <c r="S21" s="308" t="str">
        <f t="shared" si="2"/>
        <v>X</v>
      </c>
      <c r="T21" s="308" t="s">
        <v>113</v>
      </c>
      <c r="U21" s="308" t="str">
        <f t="shared" si="3"/>
        <v>normal</v>
      </c>
    </row>
    <row r="22" spans="1:21" ht="15" customHeight="1">
      <c r="A22" s="191">
        <v>7</v>
      </c>
      <c r="B22" s="192">
        <f>IF(ISTEXT(VLOOKUP(A22,MEDIÇÃO!$C$9:$G$200,2,FALSE)),VLOOKUP(A22,MEDIÇÃO!$C$9:$G$200,2,FALSE),0)</f>
        <v>0</v>
      </c>
      <c r="C22" s="193" t="str">
        <f>IF(ISTEXT(VLOOKUP(A22,MEDIÇÃO!$C$9:$G$200,3,FALSE)),VLOOKUP(A22,MEDIÇÃO!$C$9:$G$200,3,FALSE),0)</f>
        <v>SINALIZAÇÃO DE TRÂNSITO</v>
      </c>
      <c r="D22" s="195"/>
      <c r="E22" s="195"/>
      <c r="F22" s="195"/>
      <c r="G22" s="195"/>
      <c r="H22" s="196">
        <v>1</v>
      </c>
      <c r="I22" s="197">
        <f t="shared" si="4"/>
        <v>12354.4</v>
      </c>
      <c r="J22" s="198">
        <f t="shared" si="0"/>
        <v>1</v>
      </c>
      <c r="K22" s="199">
        <f>IF(ISNUMBER(C22),0,VLOOKUP(A22,MEDIÇÃO!$C$9:$V$200,20,FALSE))</f>
        <v>12354.4</v>
      </c>
      <c r="L22" s="200"/>
      <c r="M22" s="201">
        <f>IF(ISNUMBER(C22),0,IF(T22="OK",VLOOKUP(A22,MEDIÇÃO!$C$9:$AC$200,18,FALSE),IF(R20="ATRASO",O22,VLOOKUP(A22,MEDIÇÃO!$C$9:$AC$200,18,FALSE))))</f>
        <v>12354.4</v>
      </c>
      <c r="N22" s="202"/>
      <c r="O22" s="259">
        <v>0</v>
      </c>
      <c r="P22" s="285">
        <f t="shared" si="5"/>
        <v>12354.4</v>
      </c>
      <c r="Q22" s="370">
        <f t="shared" si="6"/>
        <v>100000</v>
      </c>
      <c r="R22" s="308" t="str">
        <f t="shared" si="1"/>
        <v>ATRASO</v>
      </c>
      <c r="S22" s="308" t="str">
        <f t="shared" si="2"/>
        <v>X</v>
      </c>
      <c r="T22" s="308" t="s">
        <v>113</v>
      </c>
      <c r="U22" s="308" t="str">
        <f t="shared" si="3"/>
        <v>normal</v>
      </c>
    </row>
    <row r="23" spans="1:21" ht="15" customHeight="1">
      <c r="A23" s="191">
        <v>8</v>
      </c>
      <c r="B23" s="192">
        <f>IF(ISTEXT(VLOOKUP(A23,MEDIÇÃO!$C$9:$G$200,2,FALSE)),VLOOKUP(A23,MEDIÇÃO!$C$9:$G$200,2,FALSE),0)</f>
        <v>0</v>
      </c>
      <c r="C23" s="193" t="str">
        <f>IF(ISTEXT(VLOOKUP(A23,MEDIÇÃO!$C$9:$G$200,3,FALSE)),VLOOKUP(A23,MEDIÇÃO!$C$9:$G$200,3,FALSE),0)</f>
        <v>DRENAGEM</v>
      </c>
      <c r="D23" s="195"/>
      <c r="E23" s="195"/>
      <c r="F23" s="195"/>
      <c r="G23" s="195"/>
      <c r="H23" s="196">
        <v>1</v>
      </c>
      <c r="I23" s="197">
        <f t="shared" si="4"/>
        <v>170583.27</v>
      </c>
      <c r="J23" s="198">
        <f t="shared" si="0"/>
        <v>1</v>
      </c>
      <c r="K23" s="199">
        <f>IF(ISNUMBER(C23),0,VLOOKUP(A23,MEDIÇÃO!$C$9:$V$200,20,FALSE))</f>
        <v>170583.26999999996</v>
      </c>
      <c r="L23" s="200"/>
      <c r="M23" s="201">
        <f>IF(ISNUMBER(C23),0,IF(T23="OK",VLOOKUP(A23,MEDIÇÃO!$C$9:$AC$200,18,FALSE),IF(R21="ATRASO",O23,VLOOKUP(A23,MEDIÇÃO!$C$9:$AC$200,18,FALSE))))</f>
        <v>170583.26999999996</v>
      </c>
      <c r="N23" s="202"/>
      <c r="O23" s="260">
        <v>131259.83000000002</v>
      </c>
      <c r="P23" s="285">
        <f t="shared" si="5"/>
        <v>39323.439999999944</v>
      </c>
      <c r="Q23" s="370">
        <f t="shared" si="6"/>
        <v>23052.342700000001</v>
      </c>
      <c r="R23" s="308" t="str">
        <f t="shared" si="1"/>
        <v>ATRASO</v>
      </c>
      <c r="S23" s="308" t="str">
        <f t="shared" si="2"/>
        <v>X</v>
      </c>
      <c r="T23" s="308" t="s">
        <v>113</v>
      </c>
      <c r="U23" s="308" t="str">
        <f t="shared" si="3"/>
        <v>normal</v>
      </c>
    </row>
    <row r="24" spans="1:21" ht="15" customHeight="1">
      <c r="A24" s="191">
        <v>9</v>
      </c>
      <c r="B24" s="192">
        <f>IF(ISTEXT(VLOOKUP(A24,MEDIÇÃO!$C$9:$G$200,2,FALSE)),VLOOKUP(A24,MEDIÇÃO!$C$9:$G$200,2,FALSE),0)</f>
        <v>0</v>
      </c>
      <c r="C24" s="193" t="str">
        <f>IF(ISTEXT(VLOOKUP(A24,MEDIÇÃO!$C$9:$G$200,3,FALSE)),VLOOKUP(A24,MEDIÇÃO!$C$9:$G$200,3,FALSE),0)</f>
        <v>ENSAIOS TECNOLÓGICOS
(Os custos com mobilização e desmobilização de equipe e equipamentos para a extração de amostras para os ensaios tecnológicos, exceto da capa asfáltica, serão de responsabilidade da empresa executora da obra.)</v>
      </c>
      <c r="D24" s="195"/>
      <c r="E24" s="195"/>
      <c r="F24" s="195"/>
      <c r="G24" s="195"/>
      <c r="H24" s="196">
        <v>1</v>
      </c>
      <c r="I24" s="197">
        <f t="shared" si="4"/>
        <v>14944.02</v>
      </c>
      <c r="J24" s="198">
        <f t="shared" si="0"/>
        <v>0.99069862058535785</v>
      </c>
      <c r="K24" s="199">
        <f>IF(ISNUMBER(C24),0,VLOOKUP(A24,MEDIÇÃO!$C$9:$V$200,20,FALSE))</f>
        <v>14944.02</v>
      </c>
      <c r="L24" s="200"/>
      <c r="M24" s="201">
        <f>IF(ISNUMBER(C24),0,IF(T24="OK",VLOOKUP(A24,MEDIÇÃO!$C$9:$AC$200,18,FALSE),IF(R22="ATRASO",O24,VLOOKUP(A24,MEDIÇÃO!$C$9:$AC$200,18,FALSE))))</f>
        <v>14805.02</v>
      </c>
      <c r="N24" s="202"/>
      <c r="O24" s="260">
        <v>3807.5</v>
      </c>
      <c r="P24" s="285">
        <f t="shared" si="5"/>
        <v>10997.52</v>
      </c>
      <c r="Q24" s="370">
        <f t="shared" si="6"/>
        <v>73591.443299999999</v>
      </c>
      <c r="R24" s="308" t="str">
        <f t="shared" si="1"/>
        <v>ATRASO</v>
      </c>
      <c r="S24" s="308" t="str">
        <f t="shared" si="2"/>
        <v>X</v>
      </c>
      <c r="T24" s="308" t="s">
        <v>113</v>
      </c>
      <c r="U24" s="308" t="str">
        <f t="shared" si="3"/>
        <v>normal</v>
      </c>
    </row>
    <row r="25" spans="1:21" ht="15" customHeight="1" thickBot="1">
      <c r="A25" s="191">
        <v>10</v>
      </c>
      <c r="B25" s="192">
        <f>IF(ISTEXT(VLOOKUP(A25,MEDIÇÃO!$C$9:$G$200,2,FALSE)),VLOOKUP(A25,MEDIÇÃO!$C$9:$G$200,2,FALSE),0)</f>
        <v>0</v>
      </c>
      <c r="C25" s="193">
        <f>IF(ISTEXT(VLOOKUP(A25,MEDIÇÃO!$C$9:$G$200,3,FALSE)),VLOOKUP(A25,MEDIÇÃO!$C$9:$G$200,3,FALSE),0)</f>
        <v>0</v>
      </c>
      <c r="D25" s="195"/>
      <c r="E25" s="195"/>
      <c r="F25" s="203"/>
      <c r="G25" s="195"/>
      <c r="H25" s="196"/>
      <c r="I25" s="197">
        <f t="shared" si="4"/>
        <v>0</v>
      </c>
      <c r="J25" s="198">
        <f t="shared" si="0"/>
        <v>0</v>
      </c>
      <c r="K25" s="199">
        <f>IF(ISNUMBER(C25),0,VLOOKUP(A25,MEDIÇÃO!$C$9:$V$200,20,FALSE))</f>
        <v>0</v>
      </c>
      <c r="L25" s="200"/>
      <c r="M25" s="201">
        <f>IF(ISNUMBER(C25),0,IF(T25="OK",VLOOKUP(A25,MEDIÇÃO!$C$9:$AC$200,18,FALSE),IF(R23="ATRASO",O25,VLOOKUP(A25,MEDIÇÃO!$C$9:$AC$200,18,FALSE))))</f>
        <v>0</v>
      </c>
      <c r="N25" s="202"/>
      <c r="O25" s="260"/>
      <c r="P25" s="285">
        <f t="shared" si="5"/>
        <v>0</v>
      </c>
      <c r="Q25" s="287">
        <f t="shared" ref="Q25" si="7">IF(K25=0,0,ROUND(P25/K25,4))</f>
        <v>0</v>
      </c>
      <c r="R25" s="308">
        <f t="shared" si="1"/>
        <v>0</v>
      </c>
      <c r="S25" s="308">
        <f t="shared" si="2"/>
        <v>0</v>
      </c>
      <c r="T25" s="308" t="s">
        <v>113</v>
      </c>
      <c r="U25" s="308">
        <f>IF(C25=0,0,IF(J25&gt;H25+20%,IF(#REF!&lt;#REF!,"adiantado","normal"),"normal"))</f>
        <v>0</v>
      </c>
    </row>
    <row r="26" spans="1:21" ht="13.5" thickBot="1">
      <c r="A26" s="204"/>
      <c r="B26" s="152"/>
      <c r="C26" s="152"/>
      <c r="D26" s="152"/>
      <c r="E26" s="152"/>
      <c r="F26" s="205" t="s">
        <v>108</v>
      </c>
      <c r="G26" s="206"/>
      <c r="H26" s="207"/>
      <c r="I26" s="208">
        <f>SUM(I16:I25)</f>
        <v>975827.37</v>
      </c>
      <c r="J26" s="209" t="s">
        <v>109</v>
      </c>
      <c r="K26" s="210"/>
      <c r="L26" s="207"/>
      <c r="M26" s="208">
        <f>SUM(M16:M25)</f>
        <v>955636.10000000009</v>
      </c>
      <c r="N26" s="202"/>
      <c r="O26" s="261" t="str">
        <f>IF(M26&lt;I26,"ATRASO","OK")</f>
        <v>ATRASO</v>
      </c>
      <c r="P26" s="288" t="s">
        <v>30</v>
      </c>
      <c r="Q26" s="289"/>
      <c r="R26" s="307"/>
      <c r="S26" s="165"/>
      <c r="T26" s="165"/>
      <c r="U26" s="313"/>
    </row>
    <row r="27" spans="1:21" ht="13.5" thickBot="1">
      <c r="A27" s="157"/>
      <c r="B27" s="154"/>
      <c r="C27" s="154"/>
      <c r="D27" s="154"/>
      <c r="E27" s="154"/>
      <c r="F27" s="211" t="s">
        <v>118</v>
      </c>
      <c r="G27" s="212"/>
      <c r="H27" s="213">
        <f>L27</f>
        <v>0.2</v>
      </c>
      <c r="I27" s="201">
        <f>H27*I26</f>
        <v>195165.47400000002</v>
      </c>
      <c r="J27" s="214" t="s">
        <v>118</v>
      </c>
      <c r="K27" s="215"/>
      <c r="L27" s="216">
        <v>0.2</v>
      </c>
      <c r="M27" s="201">
        <f>L27*M26</f>
        <v>191127.22000000003</v>
      </c>
      <c r="N27" s="202"/>
      <c r="O27" s="262" t="s">
        <v>24</v>
      </c>
      <c r="P27" s="290" t="s">
        <v>31</v>
      </c>
      <c r="Q27" s="291"/>
      <c r="R27" s="265" t="s">
        <v>33</v>
      </c>
      <c r="S27" s="266"/>
      <c r="T27" s="266"/>
      <c r="U27" s="314"/>
    </row>
    <row r="28" spans="1:21">
      <c r="A28" s="157"/>
      <c r="B28" s="154"/>
      <c r="C28" s="154"/>
      <c r="D28" s="154"/>
      <c r="E28" s="154"/>
      <c r="F28" s="211" t="s">
        <v>119</v>
      </c>
      <c r="G28" s="212"/>
      <c r="H28" s="217">
        <f>L28</f>
        <v>0</v>
      </c>
      <c r="I28" s="218">
        <f>H28*I26</f>
        <v>0</v>
      </c>
      <c r="J28" s="219" t="s">
        <v>119</v>
      </c>
      <c r="K28" s="212"/>
      <c r="L28" s="220"/>
      <c r="M28" s="218">
        <f>L28*M26</f>
        <v>0</v>
      </c>
      <c r="N28" s="202"/>
      <c r="O28" s="263" t="s">
        <v>25</v>
      </c>
      <c r="P28" s="290" t="s">
        <v>32</v>
      </c>
      <c r="Q28" s="291"/>
      <c r="R28" s="267" t="s">
        <v>34</v>
      </c>
      <c r="S28" s="268" t="s">
        <v>110</v>
      </c>
      <c r="T28" s="316" t="s">
        <v>111</v>
      </c>
      <c r="U28" s="314"/>
    </row>
    <row r="29" spans="1:21" ht="13.5" thickBot="1">
      <c r="A29" s="157"/>
      <c r="B29" s="154"/>
      <c r="C29" s="154"/>
      <c r="D29" s="154"/>
      <c r="E29" s="154"/>
      <c r="F29" s="320" t="s">
        <v>120</v>
      </c>
      <c r="G29" s="321"/>
      <c r="H29" s="213">
        <f>L29</f>
        <v>0.8</v>
      </c>
      <c r="I29" s="218">
        <f>IF(H27+H28+H29&lt;&gt;1,"&lt;&lt;erro",I26*H29)</f>
        <v>780661.89600000007</v>
      </c>
      <c r="J29" s="322" t="s">
        <v>120</v>
      </c>
      <c r="K29" s="323"/>
      <c r="L29" s="216">
        <v>0.8</v>
      </c>
      <c r="M29" s="218">
        <f>IF(L27+L28+L29&lt;&gt;1,"&lt;&lt;erro",M26*L29)</f>
        <v>764508.88000000012</v>
      </c>
      <c r="N29" s="202"/>
      <c r="O29" s="264">
        <f>SUM(O16:O25)</f>
        <v>461468.64</v>
      </c>
      <c r="P29" s="292">
        <f>SUM(P16:P25)</f>
        <v>494167.46</v>
      </c>
      <c r="Q29" s="293"/>
      <c r="R29" s="305">
        <f>SUM(K16:K25)</f>
        <v>975827.37000000011</v>
      </c>
      <c r="S29" s="306">
        <f>MEDIÇÃO!T201</f>
        <v>955636.10000000009</v>
      </c>
      <c r="T29" s="317">
        <f>M26</f>
        <v>955636.10000000009</v>
      </c>
      <c r="U29" s="315"/>
    </row>
    <row r="30" spans="1:21" ht="2.1" customHeight="1" thickBot="1">
      <c r="A30" s="204"/>
      <c r="B30" s="152"/>
      <c r="C30" s="152"/>
      <c r="D30" s="152"/>
      <c r="E30" s="152"/>
      <c r="F30" s="152"/>
      <c r="G30" s="152"/>
      <c r="H30" s="324"/>
      <c r="I30" s="324"/>
      <c r="J30" s="324"/>
      <c r="K30" s="325"/>
      <c r="L30" s="325"/>
      <c r="M30" s="326"/>
      <c r="N30" s="202"/>
      <c r="O30"/>
      <c r="P30"/>
      <c r="Q30"/>
      <c r="R30"/>
      <c r="S30" s="155"/>
      <c r="T30" s="223"/>
    </row>
    <row r="31" spans="1:21" ht="18.75" customHeight="1">
      <c r="A31" s="204"/>
      <c r="B31" s="224" t="s">
        <v>115</v>
      </c>
      <c r="C31" s="152"/>
      <c r="D31" s="152"/>
      <c r="E31" s="152"/>
      <c r="F31" s="152"/>
      <c r="G31" s="152"/>
      <c r="H31" s="366"/>
      <c r="I31" s="367">
        <f>MEDIÇÃO!O205</f>
        <v>494167.46000000008</v>
      </c>
      <c r="J31" s="225"/>
      <c r="K31" s="428" t="s">
        <v>232</v>
      </c>
      <c r="L31" s="428"/>
      <c r="M31" s="429"/>
      <c r="N31" s="202"/>
      <c r="O31"/>
      <c r="P31"/>
      <c r="Q31"/>
      <c r="R31"/>
      <c r="S31" s="155"/>
      <c r="T31"/>
    </row>
    <row r="32" spans="1:21" ht="18.75" customHeight="1">
      <c r="A32" s="157"/>
      <c r="B32" s="430" t="s">
        <v>233</v>
      </c>
      <c r="C32" s="430"/>
      <c r="D32" s="430"/>
      <c r="E32" s="430"/>
      <c r="F32" s="430"/>
      <c r="G32" s="430"/>
      <c r="H32" s="430"/>
      <c r="I32" s="430"/>
      <c r="J32" s="430"/>
      <c r="K32" s="430"/>
      <c r="L32" s="430"/>
      <c r="M32" s="431"/>
      <c r="N32" s="202"/>
      <c r="O32"/>
      <c r="P32"/>
      <c r="Q32"/>
      <c r="R32"/>
      <c r="S32" s="155"/>
      <c r="T32"/>
    </row>
    <row r="33" spans="1:20" ht="3.95" customHeight="1">
      <c r="A33" s="157"/>
      <c r="B33" s="154"/>
      <c r="C33" s="154"/>
      <c r="D33" s="154"/>
      <c r="E33" s="154"/>
      <c r="F33" s="154"/>
      <c r="G33" s="154"/>
      <c r="H33" s="221"/>
      <c r="I33" s="221"/>
      <c r="J33" s="221"/>
      <c r="K33" s="202"/>
      <c r="L33" s="202"/>
      <c r="M33" s="222"/>
      <c r="N33" s="202"/>
      <c r="O33"/>
      <c r="P33"/>
      <c r="Q33"/>
      <c r="R33"/>
      <c r="S33" s="155"/>
      <c r="T33"/>
    </row>
    <row r="34" spans="1:20" ht="15.75" customHeight="1">
      <c r="A34" s="157" t="s">
        <v>0</v>
      </c>
      <c r="B34" s="154"/>
      <c r="C34" s="154"/>
      <c r="D34" s="154"/>
      <c r="E34" s="154"/>
      <c r="F34" s="154"/>
      <c r="G34" s="154"/>
      <c r="H34" s="221"/>
      <c r="I34" s="221"/>
      <c r="J34" s="221"/>
      <c r="K34" s="202"/>
      <c r="L34" s="202"/>
      <c r="M34" s="222"/>
      <c r="N34" s="202"/>
      <c r="O34"/>
      <c r="P34" s="378"/>
      <c r="Q34"/>
      <c r="R34"/>
      <c r="S34" s="155"/>
      <c r="T34"/>
    </row>
    <row r="35" spans="1:20" ht="15.75" customHeight="1">
      <c r="A35" s="157" t="s">
        <v>1</v>
      </c>
      <c r="B35" s="154"/>
      <c r="C35" s="154"/>
      <c r="D35" s="154"/>
      <c r="E35" s="154"/>
      <c r="F35" s="154"/>
      <c r="G35" s="154"/>
      <c r="H35" s="221"/>
      <c r="I35" s="221"/>
      <c r="J35" s="221"/>
      <c r="K35" s="202"/>
      <c r="L35" s="202"/>
      <c r="M35" s="222"/>
      <c r="N35" s="202"/>
      <c r="O35"/>
      <c r="P35" s="378"/>
      <c r="Q35"/>
      <c r="R35"/>
      <c r="S35" s="155"/>
      <c r="T35"/>
    </row>
    <row r="36" spans="1:20" ht="15.75" customHeight="1">
      <c r="A36" s="415" t="s">
        <v>224</v>
      </c>
      <c r="B36" s="416"/>
      <c r="C36" s="416"/>
      <c r="D36" s="416"/>
      <c r="E36" s="416"/>
      <c r="F36" s="416"/>
      <c r="G36" s="416"/>
      <c r="H36" s="416"/>
      <c r="I36" s="416"/>
      <c r="J36" s="416"/>
      <c r="K36" s="416"/>
      <c r="L36" s="416"/>
      <c r="M36" s="417"/>
      <c r="N36" s="202"/>
      <c r="O36"/>
      <c r="P36" s="378"/>
      <c r="Q36"/>
      <c r="R36"/>
      <c r="S36" s="155"/>
      <c r="T36"/>
    </row>
    <row r="37" spans="1:20" ht="15.75" customHeight="1">
      <c r="A37" s="418" t="s">
        <v>225</v>
      </c>
      <c r="B37" s="419"/>
      <c r="C37" s="419"/>
      <c r="D37" s="419"/>
      <c r="E37" s="419"/>
      <c r="F37" s="419"/>
      <c r="G37" s="419"/>
      <c r="H37" s="419"/>
      <c r="I37" s="419"/>
      <c r="J37" s="419"/>
      <c r="K37" s="419"/>
      <c r="L37" s="419"/>
      <c r="M37" s="420"/>
      <c r="N37" s="202"/>
      <c r="O37"/>
      <c r="P37" s="378"/>
      <c r="Q37"/>
      <c r="R37"/>
      <c r="S37" s="155"/>
      <c r="T37"/>
    </row>
    <row r="38" spans="1:20" ht="15.75" customHeight="1">
      <c r="A38" s="421" t="s">
        <v>223</v>
      </c>
      <c r="B38" s="422"/>
      <c r="C38" s="422"/>
      <c r="D38" s="422"/>
      <c r="E38" s="422"/>
      <c r="F38" s="422"/>
      <c r="G38" s="422"/>
      <c r="H38" s="422"/>
      <c r="I38" s="422"/>
      <c r="J38" s="422"/>
      <c r="K38" s="422"/>
      <c r="L38" s="422"/>
      <c r="M38" s="423"/>
      <c r="N38" s="202"/>
      <c r="O38"/>
      <c r="P38" s="378"/>
      <c r="Q38"/>
      <c r="R38"/>
      <c r="S38" s="155"/>
      <c r="T38"/>
    </row>
    <row r="39" spans="1:20">
      <c r="A39" s="157"/>
      <c r="B39" s="154"/>
      <c r="C39" s="154"/>
      <c r="D39" s="154"/>
      <c r="E39" s="154"/>
      <c r="F39" s="154"/>
      <c r="G39" s="154"/>
      <c r="H39" s="221"/>
      <c r="I39" s="221"/>
      <c r="J39" s="221"/>
      <c r="K39" s="202"/>
      <c r="L39" s="202"/>
      <c r="M39" s="222"/>
      <c r="N39" s="202"/>
      <c r="O39"/>
      <c r="P39" s="378"/>
      <c r="Q39"/>
      <c r="R39"/>
      <c r="S39" s="155"/>
      <c r="T39"/>
    </row>
    <row r="40" spans="1:20" ht="75.75" customHeight="1" thickBot="1">
      <c r="A40" s="327"/>
      <c r="B40" s="227"/>
      <c r="C40" s="227"/>
      <c r="D40" s="227"/>
      <c r="E40" s="221"/>
      <c r="F40" s="227"/>
      <c r="G40" s="227"/>
      <c r="H40" s="202"/>
      <c r="I40" s="227"/>
      <c r="J40" s="227"/>
      <c r="K40" s="227"/>
      <c r="L40" s="227"/>
      <c r="M40" s="328"/>
      <c r="N40" s="202"/>
      <c r="O40"/>
      <c r="P40" s="378"/>
      <c r="Q40"/>
      <c r="R40"/>
      <c r="S40" s="155"/>
      <c r="T40"/>
    </row>
    <row r="41" spans="1:20" ht="70.5" customHeight="1" thickBot="1">
      <c r="A41" s="424" t="str">
        <f>MEDIÇÃO!D208</f>
        <v>Copater Construtora de Obras Ltda
Eng. Marcos Roberto Kokot                 CREA: 68.812/D-PR</v>
      </c>
      <c r="B41" s="425"/>
      <c r="C41" s="425"/>
      <c r="D41" s="425"/>
      <c r="E41" s="425"/>
      <c r="F41" s="426" t="str">
        <f>MEDIÇÃO!H208</f>
        <v>Prefeitura Municipal de Mandirituba
Engº. Carlos Eduardo de Andrade                                     CREA: 178.633/D-PR</v>
      </c>
      <c r="G41" s="426"/>
      <c r="H41" s="227"/>
      <c r="I41" s="427" t="str">
        <f>MEDIÇÃO!M208</f>
        <v>Prefeito Municipal
Luis Antonio Biscaia</v>
      </c>
      <c r="J41" s="427"/>
      <c r="K41" s="427"/>
      <c r="L41" s="427"/>
      <c r="M41" s="228"/>
      <c r="N41" s="202"/>
      <c r="O41"/>
      <c r="P41" s="378"/>
      <c r="Q41"/>
      <c r="R41"/>
      <c r="S41" s="155"/>
      <c r="T41"/>
    </row>
    <row r="42" spans="1:20" ht="2.1" customHeight="1">
      <c r="A42" s="157"/>
      <c r="B42" s="154"/>
      <c r="C42" s="154"/>
      <c r="D42" s="154"/>
      <c r="E42" s="154"/>
      <c r="F42" s="154"/>
      <c r="G42" s="154"/>
      <c r="H42" s="221"/>
      <c r="I42" s="221"/>
      <c r="J42" s="221"/>
      <c r="K42" s="202"/>
      <c r="L42" s="202"/>
      <c r="M42" s="222"/>
      <c r="N42" s="202"/>
      <c r="O42"/>
      <c r="P42" s="378"/>
      <c r="Q42"/>
      <c r="R42"/>
      <c r="S42" s="155"/>
      <c r="T42"/>
    </row>
    <row r="43" spans="1:20">
      <c r="H43" s="229"/>
      <c r="I43" s="229"/>
      <c r="J43" s="229"/>
      <c r="K43" s="230"/>
      <c r="L43" s="230"/>
      <c r="M43" s="230"/>
      <c r="N43" s="231"/>
      <c r="P43" s="379"/>
    </row>
    <row r="44" spans="1:20">
      <c r="H44" s="229"/>
      <c r="I44" s="229"/>
      <c r="J44" s="229"/>
      <c r="K44" s="230"/>
      <c r="L44" s="230"/>
      <c r="M44" s="230"/>
      <c r="N44" s="231"/>
    </row>
    <row r="45" spans="1:20">
      <c r="H45" s="229"/>
      <c r="I45" s="229"/>
      <c r="J45" s="229"/>
      <c r="K45" s="230"/>
      <c r="L45" s="230"/>
      <c r="M45" s="230"/>
      <c r="N45" s="231"/>
    </row>
    <row r="46" spans="1:20">
      <c r="H46" s="229"/>
      <c r="I46" s="229"/>
      <c r="J46" s="229"/>
      <c r="K46" s="230"/>
      <c r="L46" s="230"/>
      <c r="M46" s="230"/>
      <c r="N46" s="231"/>
    </row>
    <row r="47" spans="1:20">
      <c r="H47" s="229"/>
      <c r="I47" s="229"/>
      <c r="J47" s="229"/>
      <c r="K47" s="230"/>
      <c r="L47" s="230"/>
      <c r="M47" s="230"/>
      <c r="N47" s="231"/>
    </row>
    <row r="48" spans="1:20">
      <c r="H48" s="229"/>
      <c r="I48" s="229"/>
      <c r="J48" s="229"/>
      <c r="K48" s="230"/>
      <c r="L48" s="230"/>
      <c r="M48" s="230"/>
      <c r="N48" s="231"/>
    </row>
    <row r="49" spans="8:14">
      <c r="H49" s="229"/>
      <c r="I49" s="229"/>
      <c r="J49" s="229"/>
      <c r="K49" s="230"/>
      <c r="L49" s="230"/>
      <c r="M49" s="230"/>
      <c r="N49" s="231"/>
    </row>
    <row r="50" spans="8:14">
      <c r="H50" s="229"/>
      <c r="I50" s="229"/>
      <c r="J50" s="229"/>
      <c r="K50" s="230"/>
      <c r="L50" s="379"/>
      <c r="M50" s="230"/>
      <c r="N50" s="231"/>
    </row>
    <row r="51" spans="8:14">
      <c r="H51" s="229"/>
      <c r="I51" s="229"/>
      <c r="J51" s="229"/>
      <c r="K51" s="230"/>
      <c r="L51" s="230"/>
      <c r="M51" s="230"/>
      <c r="N51" s="231"/>
    </row>
    <row r="52" spans="8:14">
      <c r="H52" s="229"/>
      <c r="I52" s="229"/>
      <c r="J52" s="229"/>
      <c r="K52" s="230"/>
      <c r="L52" s="384"/>
      <c r="M52" s="230"/>
      <c r="N52" s="231"/>
    </row>
    <row r="53" spans="8:14">
      <c r="H53" s="229"/>
      <c r="I53" s="229"/>
      <c r="J53" s="229"/>
      <c r="K53" s="230"/>
      <c r="L53" s="230"/>
      <c r="M53" s="230"/>
      <c r="N53" s="231"/>
    </row>
    <row r="54" spans="8:14">
      <c r="H54" s="229"/>
      <c r="I54" s="229"/>
      <c r="J54" s="229"/>
      <c r="K54" s="230"/>
      <c r="L54" s="230"/>
      <c r="M54" s="230"/>
      <c r="N54" s="231"/>
    </row>
    <row r="55" spans="8:14">
      <c r="H55" s="229"/>
      <c r="I55" s="229"/>
      <c r="J55" s="229"/>
      <c r="K55" s="230"/>
      <c r="L55" s="230"/>
      <c r="M55" s="230"/>
      <c r="N55" s="231"/>
    </row>
    <row r="56" spans="8:14">
      <c r="H56" s="229"/>
      <c r="I56" s="229"/>
      <c r="J56" s="229"/>
    </row>
    <row r="57" spans="8:14">
      <c r="H57" s="229"/>
      <c r="I57" s="229"/>
      <c r="J57" s="229"/>
    </row>
    <row r="58" spans="8:14">
      <c r="H58" s="229"/>
      <c r="I58" s="229"/>
      <c r="J58" s="229"/>
    </row>
    <row r="59" spans="8:14">
      <c r="H59" s="229"/>
      <c r="I59" s="383"/>
      <c r="J59" s="229"/>
    </row>
    <row r="60" spans="8:14">
      <c r="H60" s="229"/>
      <c r="I60" s="229"/>
      <c r="J60" s="229"/>
    </row>
    <row r="61" spans="8:14">
      <c r="H61" s="229"/>
      <c r="I61" s="229"/>
      <c r="J61" s="229"/>
    </row>
    <row r="62" spans="8:14">
      <c r="H62" s="229"/>
      <c r="I62" s="229"/>
      <c r="J62" s="229"/>
    </row>
    <row r="63" spans="8:14">
      <c r="H63" s="229"/>
      <c r="I63" s="229"/>
      <c r="J63" s="229"/>
    </row>
    <row r="64" spans="8:14">
      <c r="H64" s="229"/>
      <c r="I64" s="229"/>
      <c r="J64" s="229"/>
    </row>
    <row r="65" spans="8:10">
      <c r="H65" s="229"/>
      <c r="I65" s="229"/>
      <c r="J65" s="229"/>
    </row>
    <row r="66" spans="8:10">
      <c r="H66" s="229"/>
      <c r="I66" s="229"/>
      <c r="J66" s="229"/>
    </row>
    <row r="67" spans="8:10">
      <c r="H67" s="229"/>
      <c r="I67" s="229"/>
      <c r="J67" s="229"/>
    </row>
    <row r="68" spans="8:10">
      <c r="H68" s="229"/>
      <c r="I68" s="229"/>
      <c r="J68" s="229"/>
    </row>
    <row r="69" spans="8:10">
      <c r="H69" s="229"/>
      <c r="I69" s="229"/>
      <c r="J69" s="229"/>
    </row>
    <row r="70" spans="8:10">
      <c r="H70" s="229"/>
      <c r="I70" s="229"/>
      <c r="J70" s="229"/>
    </row>
    <row r="71" spans="8:10">
      <c r="H71" s="229"/>
      <c r="I71" s="229"/>
      <c r="J71" s="229"/>
    </row>
    <row r="72" spans="8:10">
      <c r="H72" s="229"/>
      <c r="I72" s="229"/>
      <c r="J72" s="229"/>
    </row>
    <row r="73" spans="8:10">
      <c r="H73" s="229"/>
      <c r="I73" s="229"/>
      <c r="J73" s="229"/>
    </row>
    <row r="74" spans="8:10">
      <c r="H74" s="229"/>
      <c r="I74" s="229"/>
      <c r="J74" s="229"/>
    </row>
    <row r="75" spans="8:10">
      <c r="H75" s="229"/>
      <c r="I75" s="229"/>
      <c r="J75" s="229"/>
    </row>
    <row r="76" spans="8:10">
      <c r="H76" s="229"/>
      <c r="I76" s="229"/>
      <c r="J76" s="229"/>
    </row>
    <row r="77" spans="8:10">
      <c r="H77" s="229"/>
      <c r="I77" s="229"/>
      <c r="J77" s="229"/>
    </row>
    <row r="78" spans="8:10">
      <c r="H78" s="229"/>
      <c r="I78" s="229"/>
      <c r="J78" s="229"/>
    </row>
    <row r="79" spans="8:10">
      <c r="H79" s="229"/>
      <c r="I79" s="229"/>
      <c r="J79" s="229"/>
    </row>
    <row r="80" spans="8:10">
      <c r="H80" s="229"/>
      <c r="I80" s="229"/>
      <c r="J80" s="229"/>
    </row>
    <row r="81" spans="8:10">
      <c r="H81" s="229"/>
      <c r="I81" s="229"/>
      <c r="J81" s="229"/>
    </row>
    <row r="82" spans="8:10">
      <c r="H82" s="229"/>
      <c r="I82" s="229"/>
      <c r="J82" s="229"/>
    </row>
    <row r="83" spans="8:10">
      <c r="H83" s="229"/>
      <c r="I83" s="229"/>
      <c r="J83" s="229"/>
    </row>
    <row r="84" spans="8:10">
      <c r="H84" s="229"/>
      <c r="I84" s="229"/>
      <c r="J84" s="229"/>
    </row>
    <row r="85" spans="8:10">
      <c r="H85" s="229"/>
      <c r="I85" s="229"/>
      <c r="J85" s="229"/>
    </row>
    <row r="86" spans="8:10">
      <c r="H86" s="229"/>
      <c r="I86" s="229"/>
      <c r="J86" s="229"/>
    </row>
    <row r="87" spans="8:10">
      <c r="H87" s="229"/>
      <c r="I87" s="229"/>
      <c r="J87" s="229"/>
    </row>
    <row r="88" spans="8:10">
      <c r="H88" s="229"/>
      <c r="I88" s="229"/>
      <c r="J88" s="229"/>
    </row>
    <row r="89" spans="8:10">
      <c r="H89" s="229"/>
      <c r="I89" s="229"/>
      <c r="J89" s="229"/>
    </row>
    <row r="90" spans="8:10">
      <c r="H90" s="229"/>
      <c r="I90" s="229"/>
      <c r="J90" s="229"/>
    </row>
    <row r="91" spans="8:10">
      <c r="H91" s="229"/>
      <c r="I91" s="229"/>
      <c r="J91" s="229"/>
    </row>
    <row r="92" spans="8:10">
      <c r="H92" s="229"/>
      <c r="I92" s="229"/>
      <c r="J92" s="229"/>
    </row>
    <row r="93" spans="8:10">
      <c r="H93" s="229"/>
      <c r="I93" s="229"/>
      <c r="J93" s="229"/>
    </row>
    <row r="94" spans="8:10">
      <c r="H94" s="229"/>
      <c r="I94" s="229"/>
      <c r="J94" s="229"/>
    </row>
    <row r="95" spans="8:10">
      <c r="H95" s="229"/>
      <c r="I95" s="229"/>
      <c r="J95" s="229"/>
    </row>
    <row r="96" spans="8:10">
      <c r="H96" s="229"/>
      <c r="I96" s="229"/>
      <c r="J96" s="229"/>
    </row>
    <row r="97" spans="8:10">
      <c r="H97" s="229"/>
      <c r="I97" s="229"/>
      <c r="J97" s="229"/>
    </row>
    <row r="98" spans="8:10">
      <c r="H98" s="229"/>
      <c r="I98" s="229"/>
      <c r="J98" s="229"/>
    </row>
    <row r="99" spans="8:10">
      <c r="H99" s="229"/>
      <c r="I99" s="229"/>
      <c r="J99" s="229"/>
    </row>
    <row r="100" spans="8:10">
      <c r="H100" s="229"/>
      <c r="I100" s="229"/>
      <c r="J100" s="229"/>
    </row>
    <row r="101" spans="8:10">
      <c r="H101" s="229"/>
      <c r="I101" s="229"/>
      <c r="J101" s="229"/>
    </row>
    <row r="102" spans="8:10">
      <c r="H102" s="229"/>
      <c r="I102" s="229"/>
      <c r="J102" s="229"/>
    </row>
    <row r="103" spans="8:10">
      <c r="H103" s="229"/>
      <c r="I103" s="229"/>
      <c r="J103" s="229"/>
    </row>
    <row r="104" spans="8:10">
      <c r="H104" s="229"/>
      <c r="I104" s="229"/>
      <c r="J104" s="229"/>
    </row>
    <row r="105" spans="8:10">
      <c r="H105" s="229"/>
      <c r="I105" s="229"/>
      <c r="J105" s="229"/>
    </row>
    <row r="106" spans="8:10">
      <c r="H106" s="229"/>
      <c r="I106" s="229"/>
      <c r="J106" s="229"/>
    </row>
    <row r="107" spans="8:10">
      <c r="H107" s="229"/>
      <c r="I107" s="229"/>
      <c r="J107" s="229"/>
    </row>
    <row r="108" spans="8:10">
      <c r="H108" s="229"/>
      <c r="I108" s="229"/>
      <c r="J108" s="229"/>
    </row>
    <row r="109" spans="8:10">
      <c r="H109" s="229"/>
      <c r="I109" s="229"/>
      <c r="J109" s="229"/>
    </row>
    <row r="110" spans="8:10">
      <c r="H110" s="229"/>
      <c r="I110" s="229"/>
      <c r="J110" s="229"/>
    </row>
    <row r="111" spans="8:10">
      <c r="H111" s="229"/>
      <c r="I111" s="229"/>
      <c r="J111" s="229"/>
    </row>
  </sheetData>
  <mergeCells count="15">
    <mergeCell ref="P12:Q14"/>
    <mergeCell ref="K4:L4"/>
    <mergeCell ref="K5:L5"/>
    <mergeCell ref="K9:L9"/>
    <mergeCell ref="K10:L10"/>
    <mergeCell ref="O12:O15"/>
    <mergeCell ref="A1:M1"/>
    <mergeCell ref="A36:M36"/>
    <mergeCell ref="A37:M37"/>
    <mergeCell ref="A38:M38"/>
    <mergeCell ref="A41:E41"/>
    <mergeCell ref="F41:G41"/>
    <mergeCell ref="I41:L41"/>
    <mergeCell ref="K31:M31"/>
    <mergeCell ref="B32:M32"/>
  </mergeCells>
  <phoneticPr fontId="0" type="noConversion"/>
  <printOptions horizontalCentered="1" verticalCentered="1" gridLinesSet="0"/>
  <pageMargins left="0.39370078740157483" right="0.19685039370078741" top="0.19685039370078741" bottom="0.19685039370078741" header="0.11811023622047245" footer="0.31496062992125984"/>
  <pageSetup paperSize="9" scale="67" orientation="portrait" horizontalDpi="4294967292" r:id="rId1"/>
  <headerFooter alignWithMargins="0">
    <oddHeader>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5</vt:i4>
      </vt:variant>
    </vt:vector>
  </HeadingPairs>
  <TitlesOfParts>
    <vt:vector size="7" baseType="lpstr">
      <vt:lpstr>MEDIÇÃO</vt:lpstr>
      <vt:lpstr>RESUMO</vt:lpstr>
      <vt:lpstr>MEDIÇÃO!Area_de_impressao</vt:lpstr>
      <vt:lpstr>RESUMO!Area_de_impressao</vt:lpstr>
      <vt:lpstr>MEDIÇÃO!fim</vt:lpstr>
      <vt:lpstr>MEDIÇÃO!Titulos_de_impressao</vt:lpstr>
      <vt:lpstr>MEDIÇÃO!total</vt:lpstr>
    </vt:vector>
  </TitlesOfParts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Patrícia de Toledo Quintino</dc:creator>
  <cp:lastModifiedBy>Carlos Eduardo de Andrade</cp:lastModifiedBy>
  <cp:lastPrinted>2023-08-03T16:57:22Z</cp:lastPrinted>
  <dcterms:created xsi:type="dcterms:W3CDTF">2001-08-30T17:18:48Z</dcterms:created>
  <dcterms:modified xsi:type="dcterms:W3CDTF">2023-08-03T16:59:40Z</dcterms:modified>
</cp:coreProperties>
</file>